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KAZNA\Users\Public\Public\2022\ФІНПЛАН\ЗВІТ ЗА 2021  РІК\"/>
    </mc:Choice>
  </mc:AlternateContent>
  <bookViews>
    <workbookView xWindow="0" yWindow="0" windowWidth="28800" windowHeight="12300" tabRatio="838"/>
  </bookViews>
  <sheets>
    <sheet name="Звіт про виконання показ фінпла" sheetId="14" r:id="rId1"/>
    <sheet name="Розшифровка 1 до Формування" sheetId="22" r:id="rId2"/>
    <sheet name="Розшифровка 2 до формування" sheetId="26" r:id="rId3"/>
    <sheet name="Рух грошових коштів" sheetId="28" r:id="rId4"/>
    <sheet name="Розшифровка кап" sheetId="24" r:id="rId5"/>
    <sheet name="Розшифровка за джерелами" sheetId="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0">'Звіт про виконання показ фінпла'!$4:$6</definedName>
    <definedName name="_xlnm.Print_Titles" localSheetId="1">'Розшифровка 1 до Формування'!$4:$5</definedName>
    <definedName name="_xlnm.Print_Titles" localSheetId="2">'Розшифровка 2 до формування'!$4:$5</definedName>
    <definedName name="_xlnm.Print_Titles" localSheetId="5">'Розшифровка за джерелами'!$4:$6</definedName>
    <definedName name="_xlnm.Print_Titles" localSheetId="4">'Розшифровка кап'!$3:$4</definedName>
    <definedName name="_xlnm.Print_Titles" localSheetId="3">'Рух грошових коштів'!$4:$5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0">'Звіт про виконання показ фінпла'!$A$1:$H$149</definedName>
    <definedName name="_xlnm.Print_Area" localSheetId="1">'Розшифровка 1 до Формування'!$A$1:$H$153</definedName>
    <definedName name="_xlnm.Print_Area" localSheetId="2">'Розшифровка 2 до формування'!$A$1:$H$387</definedName>
    <definedName name="_xlnm.Print_Area" localSheetId="5">'Розшифровка за джерелами'!$A$1:$P$99</definedName>
    <definedName name="_xlnm.Print_Area" localSheetId="4">'Розшифровка кап'!$A$1:$G$211</definedName>
    <definedName name="_xlnm.Print_Area" localSheetId="3">'Рух грошових коштів'!$A$1:$G$199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79021"/>
</workbook>
</file>

<file path=xl/calcChain.xml><?xml version="1.0" encoding="utf-8"?>
<calcChain xmlns="http://schemas.openxmlformats.org/spreadsheetml/2006/main">
  <c r="H78" i="22" l="1"/>
  <c r="H38" i="22"/>
  <c r="H37" i="22"/>
  <c r="H28" i="22"/>
  <c r="G28" i="22"/>
  <c r="H27" i="22"/>
  <c r="G27" i="22"/>
  <c r="H26" i="22"/>
  <c r="G26" i="22"/>
  <c r="H25" i="22"/>
  <c r="G25" i="22"/>
  <c r="H24" i="22"/>
  <c r="G24" i="22"/>
  <c r="H23" i="22"/>
  <c r="G23" i="22"/>
  <c r="H22" i="22"/>
  <c r="G22" i="22"/>
  <c r="H21" i="22"/>
  <c r="G21" i="22"/>
  <c r="H20" i="22"/>
  <c r="G20" i="22"/>
  <c r="G209" i="24"/>
  <c r="F209" i="24"/>
  <c r="G208" i="24"/>
  <c r="F208" i="24"/>
  <c r="G207" i="24"/>
  <c r="F207" i="24"/>
  <c r="G206" i="24"/>
  <c r="F206" i="24"/>
  <c r="G205" i="24"/>
  <c r="F205" i="24"/>
  <c r="G204" i="24"/>
  <c r="F204" i="24"/>
  <c r="G203" i="24"/>
  <c r="F203" i="24"/>
  <c r="G202" i="24"/>
  <c r="F202" i="24"/>
  <c r="G201" i="24"/>
  <c r="F201" i="24"/>
  <c r="G200" i="24"/>
  <c r="F200" i="24"/>
  <c r="G199" i="24"/>
  <c r="F199" i="24"/>
  <c r="G198" i="24"/>
  <c r="F198" i="24"/>
  <c r="G197" i="24"/>
  <c r="F197" i="24"/>
  <c r="G196" i="24"/>
  <c r="F196" i="24"/>
  <c r="G195" i="24"/>
  <c r="F195" i="24"/>
  <c r="G194" i="24"/>
  <c r="F194" i="24"/>
  <c r="G193" i="24"/>
  <c r="F193" i="24"/>
  <c r="G192" i="24"/>
  <c r="F192" i="24"/>
  <c r="G191" i="24"/>
  <c r="F191" i="24"/>
  <c r="G190" i="24"/>
  <c r="F190" i="24"/>
  <c r="G189" i="24"/>
  <c r="F189" i="24"/>
  <c r="G188" i="24"/>
  <c r="F188" i="24"/>
  <c r="G187" i="24"/>
  <c r="F187" i="24"/>
  <c r="G186" i="24"/>
  <c r="F186" i="24"/>
  <c r="G185" i="24"/>
  <c r="F185" i="24"/>
  <c r="G184" i="24"/>
  <c r="F184" i="24"/>
  <c r="G183" i="24"/>
  <c r="F183" i="24"/>
  <c r="G182" i="24"/>
  <c r="F182" i="24"/>
  <c r="G181" i="24"/>
  <c r="F181" i="24"/>
  <c r="G180" i="24"/>
  <c r="F180" i="24"/>
  <c r="G179" i="24"/>
  <c r="F179" i="24"/>
  <c r="G178" i="24"/>
  <c r="F178" i="24"/>
  <c r="G177" i="24"/>
  <c r="F177" i="24"/>
  <c r="G176" i="24"/>
  <c r="F176" i="24"/>
  <c r="G175" i="24"/>
  <c r="F175" i="24"/>
  <c r="G174" i="24"/>
  <c r="F174" i="24"/>
  <c r="G173" i="24"/>
  <c r="F173" i="24"/>
  <c r="G172" i="24"/>
  <c r="F172" i="24"/>
  <c r="G171" i="24"/>
  <c r="F171" i="24"/>
  <c r="G170" i="24"/>
  <c r="F170" i="24"/>
  <c r="G169" i="24"/>
  <c r="F169" i="24"/>
  <c r="G168" i="24"/>
  <c r="F168" i="24"/>
  <c r="G167" i="24"/>
  <c r="F167" i="24"/>
  <c r="G166" i="24"/>
  <c r="F166" i="24"/>
  <c r="G165" i="24"/>
  <c r="F165" i="24"/>
  <c r="G164" i="24"/>
  <c r="F164" i="24"/>
  <c r="G163" i="24"/>
  <c r="F163" i="24"/>
  <c r="G162" i="24"/>
  <c r="F162" i="24"/>
  <c r="G161" i="24"/>
  <c r="F161" i="24"/>
  <c r="G160" i="24"/>
  <c r="F160" i="24"/>
  <c r="G159" i="24"/>
  <c r="F159" i="24"/>
  <c r="G158" i="24"/>
  <c r="F158" i="24"/>
  <c r="G157" i="24"/>
  <c r="F157" i="24"/>
  <c r="G156" i="24"/>
  <c r="F156" i="24"/>
  <c r="G155" i="24"/>
  <c r="F155" i="24"/>
  <c r="G154" i="24"/>
  <c r="F154" i="24"/>
  <c r="G153" i="24"/>
  <c r="F153" i="24"/>
  <c r="G152" i="24"/>
  <c r="F152" i="24"/>
  <c r="G151" i="24"/>
  <c r="F151" i="24"/>
  <c r="G150" i="24"/>
  <c r="F150" i="24"/>
  <c r="G149" i="24"/>
  <c r="F149" i="24"/>
  <c r="G148" i="24"/>
  <c r="F148" i="24"/>
  <c r="G147" i="24"/>
  <c r="F147" i="24"/>
  <c r="G146" i="24"/>
  <c r="F146" i="24"/>
  <c r="G145" i="24"/>
  <c r="F145" i="24"/>
  <c r="G144" i="24"/>
  <c r="F144" i="24"/>
  <c r="G143" i="24"/>
  <c r="F143" i="24"/>
  <c r="G142" i="24"/>
  <c r="F142" i="24"/>
  <c r="G141" i="24"/>
  <c r="F141" i="24"/>
  <c r="G140" i="24"/>
  <c r="F140" i="24"/>
  <c r="G139" i="24"/>
  <c r="F139" i="24"/>
  <c r="G138" i="24"/>
  <c r="F138" i="24"/>
  <c r="G137" i="24"/>
  <c r="F137" i="24"/>
  <c r="G136" i="24"/>
  <c r="F136" i="24"/>
  <c r="G135" i="24"/>
  <c r="F135" i="24"/>
  <c r="G134" i="24"/>
  <c r="F134" i="24"/>
  <c r="G133" i="24"/>
  <c r="F133" i="24"/>
  <c r="G132" i="24"/>
  <c r="F132" i="24"/>
  <c r="G131" i="24"/>
  <c r="F131" i="24"/>
  <c r="G130" i="24"/>
  <c r="F130" i="24"/>
  <c r="G129" i="24"/>
  <c r="F129" i="24"/>
  <c r="G128" i="24"/>
  <c r="F128" i="24"/>
  <c r="G127" i="24"/>
  <c r="F127" i="24"/>
  <c r="G126" i="24"/>
  <c r="F126" i="24"/>
  <c r="G125" i="24"/>
  <c r="F125" i="24"/>
  <c r="G124" i="24"/>
  <c r="F124" i="24"/>
  <c r="G123" i="24"/>
  <c r="F123" i="24"/>
  <c r="G122" i="24"/>
  <c r="F122" i="24"/>
  <c r="G121" i="24"/>
  <c r="F121" i="24"/>
  <c r="G120" i="24"/>
  <c r="F120" i="24"/>
  <c r="G119" i="24"/>
  <c r="F119" i="24"/>
  <c r="G118" i="24"/>
  <c r="F118" i="24"/>
  <c r="G117" i="24"/>
  <c r="F117" i="24"/>
  <c r="G116" i="24"/>
  <c r="F116" i="24"/>
  <c r="G115" i="24"/>
  <c r="F115" i="24"/>
  <c r="G114" i="24"/>
  <c r="F114" i="24"/>
  <c r="G113" i="24"/>
  <c r="F113" i="24"/>
  <c r="G112" i="24"/>
  <c r="F112" i="24"/>
  <c r="G111" i="24"/>
  <c r="F111" i="24"/>
  <c r="G110" i="24"/>
  <c r="F110" i="24"/>
  <c r="G109" i="24"/>
  <c r="F109" i="24"/>
  <c r="G108" i="24"/>
  <c r="F108" i="24"/>
  <c r="G107" i="24"/>
  <c r="F107" i="24"/>
  <c r="G106" i="24"/>
  <c r="F106" i="24"/>
  <c r="G105" i="24"/>
  <c r="F105" i="24"/>
  <c r="G104" i="24"/>
  <c r="F104" i="24"/>
  <c r="G103" i="24"/>
  <c r="F103" i="24"/>
  <c r="G102" i="24"/>
  <c r="F102" i="24"/>
  <c r="G101" i="24"/>
  <c r="F101" i="24"/>
  <c r="G100" i="24"/>
  <c r="F100" i="24"/>
  <c r="G99" i="24"/>
  <c r="F99" i="24"/>
  <c r="G98" i="24"/>
  <c r="F98" i="24"/>
  <c r="G97" i="24"/>
  <c r="F97" i="24"/>
  <c r="G96" i="24"/>
  <c r="F96" i="24"/>
  <c r="G95" i="24"/>
  <c r="F95" i="24"/>
  <c r="G94" i="24"/>
  <c r="F94" i="24"/>
  <c r="G93" i="24"/>
  <c r="F93" i="24"/>
  <c r="G92" i="24"/>
  <c r="F92" i="24"/>
  <c r="G91" i="24"/>
  <c r="F91" i="24"/>
  <c r="G90" i="24"/>
  <c r="F90" i="24"/>
  <c r="G89" i="24"/>
  <c r="F89" i="24"/>
  <c r="G88" i="24"/>
  <c r="F88" i="24"/>
  <c r="G87" i="24"/>
  <c r="F87" i="24"/>
  <c r="G86" i="24"/>
  <c r="F86" i="24"/>
  <c r="G85" i="24"/>
  <c r="F85" i="24"/>
  <c r="G84" i="24"/>
  <c r="F84" i="24"/>
  <c r="G83" i="24"/>
  <c r="F83" i="24"/>
  <c r="G82" i="24"/>
  <c r="F82" i="24"/>
  <c r="G81" i="24"/>
  <c r="F81" i="24"/>
  <c r="G80" i="24"/>
  <c r="F80" i="24"/>
  <c r="G79" i="24"/>
  <c r="F79" i="24"/>
  <c r="G78" i="24"/>
  <c r="F78" i="24"/>
  <c r="G77" i="24"/>
  <c r="F77" i="24"/>
  <c r="G76" i="24"/>
  <c r="F76" i="24"/>
  <c r="G75" i="24"/>
  <c r="F75" i="24"/>
  <c r="G74" i="24"/>
  <c r="F74" i="24"/>
  <c r="G73" i="24"/>
  <c r="F73" i="24"/>
  <c r="G72" i="24"/>
  <c r="F72" i="24"/>
  <c r="G71" i="24"/>
  <c r="F71" i="24"/>
  <c r="G70" i="24"/>
  <c r="F70" i="24"/>
  <c r="G69" i="24"/>
  <c r="F69" i="24"/>
  <c r="G68" i="24"/>
  <c r="F68" i="24"/>
  <c r="G67" i="24"/>
  <c r="F67" i="24"/>
  <c r="G66" i="24"/>
  <c r="F66" i="24"/>
  <c r="G65" i="24"/>
  <c r="F65" i="24"/>
  <c r="G64" i="24"/>
  <c r="F64" i="24"/>
  <c r="G63" i="24"/>
  <c r="F63" i="24"/>
  <c r="G62" i="24"/>
  <c r="F62" i="24"/>
  <c r="G61" i="24"/>
  <c r="F61" i="24"/>
  <c r="G60" i="24"/>
  <c r="F60" i="24"/>
  <c r="G59" i="24"/>
  <c r="F59" i="24"/>
  <c r="G58" i="24"/>
  <c r="F58" i="24"/>
  <c r="G57" i="24"/>
  <c r="F57" i="24"/>
  <c r="G56" i="24"/>
  <c r="F56" i="24"/>
  <c r="G55" i="24"/>
  <c r="F55" i="24"/>
  <c r="G54" i="24"/>
  <c r="F54" i="24"/>
  <c r="G53" i="24"/>
  <c r="F53" i="24"/>
  <c r="G52" i="24"/>
  <c r="F52" i="24"/>
  <c r="G51" i="24"/>
  <c r="F51" i="24"/>
  <c r="G50" i="24"/>
  <c r="F50" i="24"/>
  <c r="G49" i="24"/>
  <c r="F49" i="24"/>
  <c r="G48" i="24"/>
  <c r="F48" i="24"/>
  <c r="G47" i="24"/>
  <c r="F47" i="24"/>
  <c r="G46" i="24"/>
  <c r="F46" i="24"/>
  <c r="G45" i="24"/>
  <c r="F45" i="24"/>
  <c r="G44" i="24"/>
  <c r="F44" i="24"/>
  <c r="G43" i="24"/>
  <c r="F43" i="24"/>
  <c r="G42" i="24"/>
  <c r="F42" i="24"/>
  <c r="G41" i="24"/>
  <c r="F41" i="24"/>
  <c r="G40" i="24"/>
  <c r="F40" i="24"/>
  <c r="G39" i="24"/>
  <c r="F39" i="24"/>
  <c r="G38" i="24"/>
  <c r="F38" i="24"/>
  <c r="G37" i="24"/>
  <c r="F37" i="24"/>
  <c r="G36" i="24"/>
  <c r="F36" i="24"/>
  <c r="G35" i="24"/>
  <c r="F35" i="24"/>
  <c r="G34" i="24"/>
  <c r="F34" i="24"/>
  <c r="G33" i="24"/>
  <c r="F33" i="24"/>
  <c r="G32" i="24"/>
  <c r="F32" i="24"/>
  <c r="G31" i="24"/>
  <c r="F31" i="24"/>
  <c r="G30" i="24"/>
  <c r="F30" i="24"/>
  <c r="G29" i="24"/>
  <c r="F29" i="24"/>
  <c r="G28" i="24"/>
  <c r="F28" i="24"/>
  <c r="G27" i="24"/>
  <c r="F27" i="24"/>
  <c r="G26" i="24"/>
  <c r="F26" i="24"/>
  <c r="G25" i="24"/>
  <c r="F25" i="24"/>
  <c r="G24" i="24"/>
  <c r="F24" i="24"/>
  <c r="G23" i="24"/>
  <c r="F23" i="24"/>
  <c r="G22" i="24"/>
  <c r="F22" i="24"/>
  <c r="G21" i="24"/>
  <c r="F21" i="24"/>
  <c r="G20" i="24"/>
  <c r="F20" i="24"/>
  <c r="G19" i="24"/>
  <c r="F19" i="24"/>
  <c r="G18" i="24"/>
  <c r="F18" i="24"/>
  <c r="G17" i="24"/>
  <c r="F17" i="24"/>
  <c r="G16" i="24"/>
  <c r="F16" i="24"/>
  <c r="G15" i="24"/>
  <c r="F15" i="24"/>
  <c r="G14" i="24"/>
  <c r="F14" i="24"/>
  <c r="G13" i="24"/>
  <c r="F13" i="24"/>
  <c r="G12" i="24"/>
  <c r="F12" i="24"/>
  <c r="G11" i="24"/>
  <c r="F11" i="24"/>
  <c r="G10" i="24"/>
  <c r="F10" i="24"/>
  <c r="G9" i="24"/>
  <c r="F9" i="24"/>
  <c r="G8" i="24"/>
  <c r="F8" i="24"/>
  <c r="G7" i="24"/>
  <c r="F7" i="24"/>
  <c r="G6" i="24"/>
  <c r="F6" i="24"/>
  <c r="G5" i="24"/>
  <c r="F5" i="24"/>
  <c r="P93" i="9"/>
  <c r="O93" i="9"/>
  <c r="P92" i="9"/>
  <c r="O92" i="9"/>
  <c r="P91" i="9"/>
  <c r="O91" i="9"/>
  <c r="P90" i="9"/>
  <c r="O90" i="9"/>
  <c r="P89" i="9"/>
  <c r="O89" i="9"/>
  <c r="P88" i="9"/>
  <c r="O88" i="9"/>
  <c r="P87" i="9"/>
  <c r="O87" i="9"/>
  <c r="P86" i="9"/>
  <c r="O86" i="9"/>
  <c r="P85" i="9"/>
  <c r="O85" i="9"/>
  <c r="P84" i="9"/>
  <c r="O84" i="9"/>
  <c r="P83" i="9"/>
  <c r="O83" i="9"/>
  <c r="P82" i="9"/>
  <c r="O82" i="9"/>
  <c r="P81" i="9"/>
  <c r="O81" i="9"/>
  <c r="P80" i="9"/>
  <c r="O80" i="9"/>
  <c r="P79" i="9"/>
  <c r="O79" i="9"/>
  <c r="P78" i="9"/>
  <c r="O78" i="9"/>
  <c r="P77" i="9"/>
  <c r="O77" i="9"/>
  <c r="P76" i="9"/>
  <c r="O76" i="9"/>
  <c r="P75" i="9"/>
  <c r="O75" i="9"/>
  <c r="P74" i="9"/>
  <c r="O74" i="9"/>
  <c r="P73" i="9"/>
  <c r="O73" i="9"/>
  <c r="P72" i="9"/>
  <c r="O72" i="9"/>
  <c r="P71" i="9"/>
  <c r="O71" i="9"/>
  <c r="P70" i="9"/>
  <c r="O70" i="9"/>
  <c r="P69" i="9"/>
  <c r="O69" i="9"/>
  <c r="P68" i="9"/>
  <c r="O68" i="9"/>
  <c r="P67" i="9"/>
  <c r="O67" i="9"/>
  <c r="P66" i="9"/>
  <c r="O66" i="9"/>
  <c r="P65" i="9"/>
  <c r="O65" i="9"/>
  <c r="P64" i="9"/>
  <c r="O64" i="9"/>
  <c r="P63" i="9"/>
  <c r="O63" i="9"/>
  <c r="P62" i="9"/>
  <c r="O62" i="9"/>
  <c r="P61" i="9"/>
  <c r="O61" i="9"/>
  <c r="P60" i="9"/>
  <c r="O60" i="9"/>
  <c r="P59" i="9"/>
  <c r="O59" i="9"/>
  <c r="P58" i="9"/>
  <c r="O58" i="9"/>
  <c r="P57" i="9"/>
  <c r="O57" i="9"/>
  <c r="P56" i="9"/>
  <c r="O56" i="9"/>
  <c r="P55" i="9"/>
  <c r="O55" i="9"/>
  <c r="P54" i="9"/>
  <c r="O54" i="9"/>
  <c r="P53" i="9"/>
  <c r="O53" i="9"/>
  <c r="P52" i="9"/>
  <c r="O52" i="9"/>
  <c r="P51" i="9"/>
  <c r="O51" i="9"/>
  <c r="P50" i="9"/>
  <c r="O50" i="9"/>
  <c r="P49" i="9"/>
  <c r="O49" i="9"/>
  <c r="P48" i="9"/>
  <c r="O48" i="9"/>
  <c r="P47" i="9"/>
  <c r="O47" i="9"/>
  <c r="P46" i="9"/>
  <c r="O46" i="9"/>
  <c r="P45" i="9"/>
  <c r="O45" i="9"/>
  <c r="P44" i="9"/>
  <c r="O44" i="9"/>
  <c r="P43" i="9"/>
  <c r="O43" i="9"/>
  <c r="P42" i="9"/>
  <c r="O42" i="9"/>
  <c r="P41" i="9"/>
  <c r="O41" i="9"/>
  <c r="P40" i="9"/>
  <c r="O40" i="9"/>
  <c r="P39" i="9"/>
  <c r="O39" i="9"/>
  <c r="P38" i="9"/>
  <c r="O38" i="9"/>
  <c r="P37" i="9"/>
  <c r="O37" i="9"/>
  <c r="P36" i="9"/>
  <c r="O36" i="9"/>
  <c r="P35" i="9"/>
  <c r="O35" i="9"/>
  <c r="P34" i="9"/>
  <c r="O34" i="9"/>
  <c r="P33" i="9"/>
  <c r="O33" i="9"/>
  <c r="P32" i="9"/>
  <c r="O32" i="9"/>
  <c r="P31" i="9"/>
  <c r="O31" i="9"/>
  <c r="P30" i="9"/>
  <c r="O30" i="9"/>
  <c r="P29" i="9"/>
  <c r="O29" i="9"/>
  <c r="P28" i="9"/>
  <c r="O28" i="9"/>
  <c r="P27" i="9"/>
  <c r="O27" i="9"/>
  <c r="P26" i="9"/>
  <c r="O26" i="9"/>
  <c r="P25" i="9"/>
  <c r="O25" i="9"/>
  <c r="P24" i="9"/>
  <c r="O24" i="9"/>
  <c r="P23" i="9"/>
  <c r="O23" i="9"/>
  <c r="P22" i="9"/>
  <c r="O22" i="9"/>
  <c r="P21" i="9"/>
  <c r="O21" i="9"/>
  <c r="P20" i="9"/>
  <c r="O20" i="9"/>
  <c r="P19" i="9"/>
  <c r="O19" i="9"/>
  <c r="P18" i="9"/>
  <c r="O18" i="9"/>
  <c r="P17" i="9"/>
  <c r="O17" i="9"/>
  <c r="P16" i="9"/>
  <c r="O16" i="9"/>
  <c r="P15" i="9"/>
  <c r="O15" i="9"/>
  <c r="P14" i="9"/>
  <c r="O14" i="9"/>
  <c r="P13" i="9"/>
  <c r="O13" i="9"/>
  <c r="P12" i="9"/>
  <c r="O12" i="9"/>
  <c r="P11" i="9"/>
  <c r="O11" i="9"/>
  <c r="P10" i="9"/>
  <c r="O10" i="9"/>
  <c r="P9" i="9"/>
  <c r="O9" i="9"/>
  <c r="P8" i="9"/>
  <c r="O8" i="9"/>
  <c r="P7" i="9"/>
  <c r="O7" i="9"/>
  <c r="J92" i="9"/>
  <c r="H90" i="9"/>
  <c r="J91" i="9"/>
  <c r="D77" i="14"/>
  <c r="H116" i="14" l="1"/>
  <c r="G116" i="14"/>
  <c r="H114" i="14"/>
  <c r="G114" i="14"/>
  <c r="H108" i="14"/>
  <c r="G108" i="14"/>
  <c r="H104" i="14"/>
  <c r="G104" i="14"/>
  <c r="H92" i="14"/>
  <c r="G92" i="14"/>
  <c r="H71" i="14"/>
  <c r="G71" i="14"/>
  <c r="H67" i="14"/>
  <c r="G67" i="14"/>
  <c r="H39" i="14"/>
  <c r="H13" i="14"/>
  <c r="H36" i="14"/>
  <c r="G36" i="14"/>
  <c r="A188" i="28" l="1"/>
  <c r="C94" i="14" l="1"/>
  <c r="F96" i="14"/>
  <c r="A81" i="28"/>
  <c r="E31" i="28"/>
  <c r="E30" i="28" s="1"/>
  <c r="F30" i="28" l="1"/>
  <c r="G30" i="28"/>
  <c r="G22" i="28"/>
  <c r="F22" i="28"/>
  <c r="G21" i="28"/>
  <c r="F21" i="28"/>
  <c r="G14" i="28"/>
  <c r="F14" i="28"/>
  <c r="E19" i="28"/>
  <c r="A18" i="28"/>
  <c r="F73" i="14"/>
  <c r="F91" i="14"/>
  <c r="D91" i="14"/>
  <c r="F35" i="22"/>
  <c r="F41" i="22"/>
  <c r="F42" i="22"/>
  <c r="F39" i="22"/>
  <c r="D79" i="14" l="1"/>
  <c r="F79" i="14"/>
  <c r="F143" i="14"/>
  <c r="F139" i="14"/>
  <c r="F134" i="14"/>
  <c r="H34" i="14"/>
  <c r="H32" i="14"/>
  <c r="H31" i="14"/>
  <c r="C79" i="14"/>
  <c r="F113" i="14" l="1"/>
  <c r="F112" i="14"/>
  <c r="F111" i="14"/>
  <c r="F110" i="14"/>
  <c r="F109" i="14"/>
  <c r="E109" i="14"/>
  <c r="D109" i="14"/>
  <c r="C109" i="14"/>
  <c r="E104" i="14"/>
  <c r="D108" i="14"/>
  <c r="D104" i="14" s="1"/>
  <c r="D114" i="14" s="1"/>
  <c r="C108" i="14"/>
  <c r="C104" i="14" s="1"/>
  <c r="C114" i="14" s="1"/>
  <c r="F107" i="14"/>
  <c r="F106" i="14"/>
  <c r="F105" i="14"/>
  <c r="H103" i="14"/>
  <c r="G103" i="14"/>
  <c r="F101" i="14"/>
  <c r="G101" i="14" s="1"/>
  <c r="F100" i="14"/>
  <c r="F99" i="14"/>
  <c r="H99" i="14" s="1"/>
  <c r="G98" i="14"/>
  <c r="F98" i="14"/>
  <c r="H98" i="14" s="1"/>
  <c r="E94" i="14"/>
  <c r="E93" i="14" s="1"/>
  <c r="D94" i="14"/>
  <c r="D93" i="14" s="1"/>
  <c r="D102" i="14" s="1"/>
  <c r="H96" i="14"/>
  <c r="G96" i="14"/>
  <c r="F95" i="14"/>
  <c r="C93" i="14"/>
  <c r="C102" i="14" s="1"/>
  <c r="C92" i="14"/>
  <c r="H91" i="14"/>
  <c r="C91" i="14"/>
  <c r="H90" i="14"/>
  <c r="G90" i="14"/>
  <c r="D90" i="14"/>
  <c r="F88" i="14"/>
  <c r="H88" i="14"/>
  <c r="E87" i="14"/>
  <c r="D87" i="14"/>
  <c r="F87" i="14" s="1"/>
  <c r="C87" i="14"/>
  <c r="E86" i="14"/>
  <c r="H86" i="14" s="1"/>
  <c r="D86" i="14"/>
  <c r="F86" i="14" s="1"/>
  <c r="C86" i="14"/>
  <c r="E85" i="14"/>
  <c r="D85" i="14"/>
  <c r="F85" i="14" s="1"/>
  <c r="C85" i="14"/>
  <c r="G84" i="14"/>
  <c r="F84" i="14"/>
  <c r="H84" i="14" s="1"/>
  <c r="E83" i="14"/>
  <c r="D83" i="14"/>
  <c r="F83" i="14" s="1"/>
  <c r="C83" i="14"/>
  <c r="E82" i="14"/>
  <c r="D82" i="14"/>
  <c r="F82" i="14" s="1"/>
  <c r="C82" i="14"/>
  <c r="F81" i="14"/>
  <c r="H81" i="14" s="1"/>
  <c r="H80" i="14"/>
  <c r="G80" i="14"/>
  <c r="F80" i="14"/>
  <c r="F78" i="14"/>
  <c r="H78" i="14" s="1"/>
  <c r="F77" i="14"/>
  <c r="G77" i="14" s="1"/>
  <c r="E75" i="14"/>
  <c r="F75" i="14"/>
  <c r="C75" i="14"/>
  <c r="F74" i="14"/>
  <c r="E73" i="14"/>
  <c r="C73" i="14"/>
  <c r="E72" i="14"/>
  <c r="F72" i="14"/>
  <c r="C72" i="14"/>
  <c r="C71" i="14" s="1"/>
  <c r="H100" i="14" l="1"/>
  <c r="G100" i="14"/>
  <c r="H85" i="14"/>
  <c r="H87" i="14"/>
  <c r="E102" i="14"/>
  <c r="H77" i="14"/>
  <c r="G91" i="14"/>
  <c r="F104" i="14"/>
  <c r="F114" i="14" s="1"/>
  <c r="C76" i="14"/>
  <c r="C89" i="14" s="1"/>
  <c r="C115" i="14" s="1"/>
  <c r="C117" i="14" s="1"/>
  <c r="E71" i="14"/>
  <c r="G85" i="14"/>
  <c r="G86" i="14"/>
  <c r="G87" i="14"/>
  <c r="H101" i="14"/>
  <c r="H74" i="14"/>
  <c r="G74" i="14"/>
  <c r="E114" i="14"/>
  <c r="H72" i="14"/>
  <c r="F71" i="14"/>
  <c r="G72" i="14"/>
  <c r="H83" i="14"/>
  <c r="H73" i="14"/>
  <c r="G73" i="14"/>
  <c r="H82" i="14"/>
  <c r="F97" i="14"/>
  <c r="F94" i="14" s="1"/>
  <c r="G75" i="14"/>
  <c r="G78" i="14"/>
  <c r="G81" i="14"/>
  <c r="G82" i="14"/>
  <c r="G83" i="14"/>
  <c r="G97" i="14"/>
  <c r="G99" i="14"/>
  <c r="D71" i="14"/>
  <c r="H75" i="14"/>
  <c r="G88" i="14"/>
  <c r="H97" i="14" l="1"/>
  <c r="F93" i="14"/>
  <c r="H94" i="14"/>
  <c r="G94" i="14"/>
  <c r="F76" i="14"/>
  <c r="F89" i="14" s="1"/>
  <c r="D76" i="14"/>
  <c r="D89" i="14" s="1"/>
  <c r="D115" i="14" s="1"/>
  <c r="D117" i="14" s="1"/>
  <c r="H79" i="14"/>
  <c r="G79" i="14"/>
  <c r="E76" i="14"/>
  <c r="F102" i="14" l="1"/>
  <c r="F115" i="14" s="1"/>
  <c r="G93" i="14"/>
  <c r="H93" i="14"/>
  <c r="H76" i="14"/>
  <c r="G76" i="14"/>
  <c r="E89" i="14"/>
  <c r="F117" i="14" l="1"/>
  <c r="G115" i="14"/>
  <c r="H115" i="14"/>
  <c r="G102" i="14"/>
  <c r="H102" i="14"/>
  <c r="H89" i="14"/>
  <c r="E115" i="14"/>
  <c r="G89" i="14"/>
  <c r="H117" i="14" l="1"/>
  <c r="G117" i="14"/>
  <c r="E117" i="14"/>
  <c r="D245" i="26" l="1"/>
  <c r="F22" i="22"/>
  <c r="F21" i="22"/>
  <c r="H122" i="26"/>
  <c r="G122" i="26"/>
  <c r="H121" i="26"/>
  <c r="G121" i="26"/>
  <c r="M25" i="26"/>
  <c r="M24" i="26"/>
  <c r="L25" i="26"/>
  <c r="L24" i="26"/>
  <c r="M19" i="26"/>
  <c r="M18" i="26"/>
  <c r="M17" i="26"/>
  <c r="L18" i="26"/>
  <c r="L17" i="26"/>
  <c r="M11" i="26"/>
  <c r="M31" i="26" s="1"/>
  <c r="L11" i="26"/>
  <c r="M12" i="26"/>
  <c r="M10" i="26"/>
  <c r="L10" i="26"/>
  <c r="L30" i="26" s="1"/>
  <c r="M30" i="26" l="1"/>
  <c r="M32" i="26"/>
  <c r="L31" i="26"/>
  <c r="D192" i="28"/>
  <c r="E192" i="28"/>
  <c r="C192" i="28"/>
  <c r="A193" i="28"/>
  <c r="D187" i="28"/>
  <c r="E187" i="28"/>
  <c r="D188" i="28"/>
  <c r="E188" i="28"/>
  <c r="D189" i="28"/>
  <c r="E189" i="28"/>
  <c r="C188" i="28"/>
  <c r="C189" i="28"/>
  <c r="C187" i="28"/>
  <c r="A189" i="28"/>
  <c r="A187" i="28"/>
  <c r="C185" i="28"/>
  <c r="C184" i="28" s="1"/>
  <c r="A185" i="28"/>
  <c r="D93" i="28"/>
  <c r="E93" i="28"/>
  <c r="D94" i="28"/>
  <c r="E94" i="28"/>
  <c r="D95" i="28"/>
  <c r="E95" i="28"/>
  <c r="D96" i="28"/>
  <c r="E96" i="28"/>
  <c r="D97" i="28"/>
  <c r="E97" i="28"/>
  <c r="D98" i="28"/>
  <c r="E98" i="28"/>
  <c r="D99" i="28"/>
  <c r="E99" i="28"/>
  <c r="D100" i="28"/>
  <c r="E100" i="28"/>
  <c r="D101" i="28"/>
  <c r="E101" i="28"/>
  <c r="D102" i="28"/>
  <c r="E102" i="28"/>
  <c r="D103" i="28"/>
  <c r="E103" i="28"/>
  <c r="D104" i="28"/>
  <c r="E104" i="28"/>
  <c r="D105" i="28"/>
  <c r="E105" i="28"/>
  <c r="D106" i="28"/>
  <c r="E106" i="28"/>
  <c r="D107" i="28"/>
  <c r="E107" i="28"/>
  <c r="D108" i="28"/>
  <c r="E108" i="28"/>
  <c r="D109" i="28"/>
  <c r="E109" i="28"/>
  <c r="D110" i="28"/>
  <c r="E110" i="28"/>
  <c r="D111" i="28"/>
  <c r="E111" i="28"/>
  <c r="D112" i="28"/>
  <c r="E112" i="28"/>
  <c r="D113" i="28"/>
  <c r="E113" i="28"/>
  <c r="D114" i="28"/>
  <c r="E114" i="28"/>
  <c r="D115" i="28"/>
  <c r="E115" i="28"/>
  <c r="D116" i="28"/>
  <c r="E116" i="28"/>
  <c r="D117" i="28"/>
  <c r="E117" i="28"/>
  <c r="D118" i="28"/>
  <c r="E118" i="28"/>
  <c r="D119" i="28"/>
  <c r="E119" i="28"/>
  <c r="D120" i="28"/>
  <c r="E120" i="28"/>
  <c r="D121" i="28"/>
  <c r="E121" i="28"/>
  <c r="D122" i="28"/>
  <c r="E122" i="28"/>
  <c r="D123" i="28"/>
  <c r="E123" i="28"/>
  <c r="D124" i="28"/>
  <c r="E124" i="28"/>
  <c r="D125" i="28"/>
  <c r="E125" i="28"/>
  <c r="D126" i="28"/>
  <c r="E126" i="28"/>
  <c r="D127" i="28"/>
  <c r="E127" i="28"/>
  <c r="D128" i="28"/>
  <c r="E128" i="28"/>
  <c r="D129" i="28"/>
  <c r="E129" i="28"/>
  <c r="D130" i="28"/>
  <c r="E130" i="28"/>
  <c r="D131" i="28"/>
  <c r="E131" i="28"/>
  <c r="D132" i="28"/>
  <c r="E132" i="28"/>
  <c r="D133" i="28"/>
  <c r="E133" i="28"/>
  <c r="D134" i="28"/>
  <c r="E134" i="28"/>
  <c r="D135" i="28"/>
  <c r="E135" i="28"/>
  <c r="D136" i="28"/>
  <c r="E136" i="28"/>
  <c r="D137" i="28"/>
  <c r="E137" i="28"/>
  <c r="D138" i="28"/>
  <c r="E138" i="28"/>
  <c r="D139" i="28"/>
  <c r="E139" i="28"/>
  <c r="D140" i="28"/>
  <c r="E140" i="28"/>
  <c r="D141" i="28"/>
  <c r="E141" i="28"/>
  <c r="D142" i="28"/>
  <c r="E142" i="28"/>
  <c r="D143" i="28"/>
  <c r="E143" i="28"/>
  <c r="D144" i="28"/>
  <c r="E144" i="28"/>
  <c r="D145" i="28"/>
  <c r="E145" i="28"/>
  <c r="D146" i="28"/>
  <c r="E146" i="28"/>
  <c r="D147" i="28"/>
  <c r="E147" i="28"/>
  <c r="D148" i="28"/>
  <c r="E148" i="28"/>
  <c r="D149" i="28"/>
  <c r="E149" i="28"/>
  <c r="D150" i="28"/>
  <c r="E150" i="28"/>
  <c r="D151" i="28"/>
  <c r="E151" i="28"/>
  <c r="D152" i="28"/>
  <c r="E152" i="28"/>
  <c r="D153" i="28"/>
  <c r="E153" i="28"/>
  <c r="D154" i="28"/>
  <c r="E154" i="28"/>
  <c r="D155" i="28"/>
  <c r="E155" i="28"/>
  <c r="D156" i="28"/>
  <c r="E156" i="28"/>
  <c r="D157" i="28"/>
  <c r="E157" i="28"/>
  <c r="D158" i="28"/>
  <c r="E158" i="28"/>
  <c r="D159" i="28"/>
  <c r="E159" i="28"/>
  <c r="D160" i="28"/>
  <c r="E160" i="28"/>
  <c r="D161" i="28"/>
  <c r="D162" i="28"/>
  <c r="E162" i="28"/>
  <c r="D163" i="28"/>
  <c r="E163" i="28"/>
  <c r="D164" i="28"/>
  <c r="E164" i="28"/>
  <c r="D165" i="28"/>
  <c r="E165" i="28"/>
  <c r="D166" i="28"/>
  <c r="E166" i="28"/>
  <c r="D167" i="28"/>
  <c r="E167" i="28"/>
  <c r="D168" i="28"/>
  <c r="D169" i="28"/>
  <c r="E169" i="28"/>
  <c r="D170" i="28"/>
  <c r="E170" i="28"/>
  <c r="D171" i="28"/>
  <c r="E171" i="28"/>
  <c r="D172" i="28"/>
  <c r="E172" i="28"/>
  <c r="D173" i="28"/>
  <c r="E173" i="28"/>
  <c r="D174" i="28"/>
  <c r="E174" i="28"/>
  <c r="D175" i="28"/>
  <c r="E175" i="28"/>
  <c r="D176" i="28"/>
  <c r="E176" i="28"/>
  <c r="D177" i="28"/>
  <c r="D178" i="28"/>
  <c r="E178" i="28"/>
  <c r="D179" i="28"/>
  <c r="E179" i="28"/>
  <c r="D180" i="28"/>
  <c r="E180" i="28"/>
  <c r="D181" i="28"/>
  <c r="E181" i="28"/>
  <c r="D182" i="28"/>
  <c r="E182" i="28"/>
  <c r="D183" i="28"/>
  <c r="E183" i="28"/>
  <c r="C94" i="28"/>
  <c r="C95" i="28"/>
  <c r="C96" i="28"/>
  <c r="C97" i="28"/>
  <c r="C98" i="28"/>
  <c r="C99" i="28"/>
  <c r="C100" i="28"/>
  <c r="C101" i="28"/>
  <c r="C102" i="28"/>
  <c r="C103" i="28"/>
  <c r="C104" i="28"/>
  <c r="C105" i="28"/>
  <c r="C106" i="28"/>
  <c r="C107" i="28"/>
  <c r="C108" i="28"/>
  <c r="C109" i="28"/>
  <c r="C110" i="28"/>
  <c r="C111" i="28"/>
  <c r="C112" i="28"/>
  <c r="C113" i="28"/>
  <c r="C114" i="28"/>
  <c r="C115" i="28"/>
  <c r="C116" i="28"/>
  <c r="C118" i="28"/>
  <c r="C119" i="28"/>
  <c r="C120" i="28"/>
  <c r="C121" i="28"/>
  <c r="C122" i="28"/>
  <c r="C123" i="28"/>
  <c r="C124" i="28"/>
  <c r="C125" i="28"/>
  <c r="C126" i="28"/>
  <c r="C127" i="28"/>
  <c r="C128" i="28"/>
  <c r="C129" i="28"/>
  <c r="C130" i="28"/>
  <c r="C131" i="28"/>
  <c r="C132" i="28"/>
  <c r="C133" i="28"/>
  <c r="C134" i="28"/>
  <c r="C135" i="28"/>
  <c r="C136" i="28"/>
  <c r="C137" i="28"/>
  <c r="C138" i="28"/>
  <c r="C139" i="28"/>
  <c r="C140" i="28"/>
  <c r="C141" i="28"/>
  <c r="C142" i="28"/>
  <c r="C143" i="28"/>
  <c r="C144" i="28"/>
  <c r="C145" i="28"/>
  <c r="C146" i="28"/>
  <c r="C147" i="28"/>
  <c r="C148" i="28"/>
  <c r="C149" i="28"/>
  <c r="C150" i="28"/>
  <c r="C151" i="28"/>
  <c r="C152" i="28"/>
  <c r="C153" i="28"/>
  <c r="C154" i="28"/>
  <c r="C155" i="28"/>
  <c r="C156" i="28"/>
  <c r="C157" i="28"/>
  <c r="C158" i="28"/>
  <c r="C159" i="28"/>
  <c r="C160" i="28"/>
  <c r="C161" i="28"/>
  <c r="C162" i="28"/>
  <c r="C163" i="28"/>
  <c r="C164" i="28"/>
  <c r="C165" i="28"/>
  <c r="C166" i="28"/>
  <c r="C167" i="28"/>
  <c r="C168" i="28"/>
  <c r="C169" i="28"/>
  <c r="C170" i="28"/>
  <c r="C171" i="28"/>
  <c r="C172" i="28"/>
  <c r="C173" i="28"/>
  <c r="C174" i="28"/>
  <c r="C175" i="28"/>
  <c r="C176" i="28"/>
  <c r="C177" i="28"/>
  <c r="C178" i="28"/>
  <c r="C179" i="28"/>
  <c r="C180" i="28"/>
  <c r="C181" i="28"/>
  <c r="C182" i="28"/>
  <c r="C183" i="28"/>
  <c r="C93" i="28"/>
  <c r="A179" i="28"/>
  <c r="A180" i="28"/>
  <c r="A181" i="28"/>
  <c r="A182" i="28"/>
  <c r="A183" i="28"/>
  <c r="A171" i="28"/>
  <c r="A172" i="28"/>
  <c r="A173" i="28"/>
  <c r="A174" i="28"/>
  <c r="A175" i="28"/>
  <c r="A176" i="28"/>
  <c r="A177" i="28"/>
  <c r="A178" i="28"/>
  <c r="E186" i="28" l="1"/>
  <c r="C186" i="28"/>
  <c r="D186" i="28"/>
  <c r="D92" i="28"/>
  <c r="A163" i="28" l="1"/>
  <c r="A164" i="28"/>
  <c r="A165" i="28"/>
  <c r="A166" i="28"/>
  <c r="A167" i="28"/>
  <c r="A168" i="28"/>
  <c r="A169" i="28"/>
  <c r="A170" i="28"/>
  <c r="A155" i="28"/>
  <c r="A156" i="28"/>
  <c r="A157" i="28"/>
  <c r="A158" i="28"/>
  <c r="A159" i="28"/>
  <c r="A160" i="28"/>
  <c r="A161" i="28"/>
  <c r="A162" i="28"/>
  <c r="A147" i="28"/>
  <c r="A148" i="28"/>
  <c r="A149" i="28"/>
  <c r="A150" i="28"/>
  <c r="A151" i="28"/>
  <c r="A152" i="28"/>
  <c r="A153" i="28"/>
  <c r="A154" i="28"/>
  <c r="A137" i="28"/>
  <c r="A138" i="28"/>
  <c r="A139" i="28"/>
  <c r="A140" i="28"/>
  <c r="A141" i="28"/>
  <c r="A142" i="28"/>
  <c r="A143" i="28"/>
  <c r="A144" i="28"/>
  <c r="A145" i="28"/>
  <c r="A146" i="28"/>
  <c r="A128" i="28"/>
  <c r="A129" i="28"/>
  <c r="A130" i="28"/>
  <c r="A131" i="28"/>
  <c r="A132" i="28"/>
  <c r="A133" i="28"/>
  <c r="A134" i="28"/>
  <c r="A135" i="28"/>
  <c r="A136" i="28"/>
  <c r="A94" i="28"/>
  <c r="A95" i="28"/>
  <c r="A96" i="28"/>
  <c r="A97" i="28"/>
  <c r="A98" i="28"/>
  <c r="A99" i="28"/>
  <c r="A100" i="28"/>
  <c r="A101" i="28"/>
  <c r="A102" i="28"/>
  <c r="A103" i="28"/>
  <c r="A104" i="28"/>
  <c r="A105" i="28"/>
  <c r="A106" i="28"/>
  <c r="A107" i="28"/>
  <c r="A108" i="28"/>
  <c r="A109" i="28"/>
  <c r="A110" i="28"/>
  <c r="A111" i="28"/>
  <c r="A112" i="28"/>
  <c r="A113" i="28"/>
  <c r="A114" i="28"/>
  <c r="A115" i="28"/>
  <c r="A116" i="28"/>
  <c r="A117" i="28"/>
  <c r="A118" i="28"/>
  <c r="A119" i="28"/>
  <c r="A120" i="28"/>
  <c r="A121" i="28"/>
  <c r="A122" i="28"/>
  <c r="A123" i="28"/>
  <c r="A124" i="28"/>
  <c r="A125" i="28"/>
  <c r="A126" i="28"/>
  <c r="A127" i="28"/>
  <c r="A93" i="28"/>
  <c r="D36" i="28"/>
  <c r="E36" i="28"/>
  <c r="D37" i="28"/>
  <c r="E37" i="28"/>
  <c r="D38" i="28"/>
  <c r="E38" i="28"/>
  <c r="D39" i="28"/>
  <c r="E39" i="28"/>
  <c r="D40" i="28"/>
  <c r="E40" i="28"/>
  <c r="D41" i="28"/>
  <c r="E41" i="28"/>
  <c r="D42" i="28"/>
  <c r="E42" i="28"/>
  <c r="D43" i="28"/>
  <c r="E43" i="28"/>
  <c r="D44" i="28"/>
  <c r="E44" i="28"/>
  <c r="D45" i="28"/>
  <c r="E45" i="28"/>
  <c r="D46" i="28"/>
  <c r="E46" i="28"/>
  <c r="D47" i="28"/>
  <c r="E47" i="28"/>
  <c r="D48" i="28"/>
  <c r="E48" i="28"/>
  <c r="D49" i="28"/>
  <c r="E49" i="28"/>
  <c r="D50" i="28"/>
  <c r="E50" i="28"/>
  <c r="D51" i="28"/>
  <c r="E51" i="28"/>
  <c r="D52" i="28"/>
  <c r="E52" i="28"/>
  <c r="D53" i="28"/>
  <c r="E53" i="28"/>
  <c r="D54" i="28"/>
  <c r="E54" i="28"/>
  <c r="D55" i="28"/>
  <c r="E55" i="28"/>
  <c r="D56" i="28"/>
  <c r="E56" i="28"/>
  <c r="D57" i="28"/>
  <c r="E57" i="28"/>
  <c r="D58" i="28"/>
  <c r="E58" i="28"/>
  <c r="D59" i="28"/>
  <c r="E59" i="28"/>
  <c r="D60" i="28"/>
  <c r="E60" i="28"/>
  <c r="D61" i="28"/>
  <c r="E61" i="28"/>
  <c r="D62" i="28"/>
  <c r="E62" i="28"/>
  <c r="D63" i="28"/>
  <c r="E63" i="28"/>
  <c r="D64" i="28"/>
  <c r="E64" i="28"/>
  <c r="D65" i="28"/>
  <c r="E65" i="28"/>
  <c r="D66" i="28"/>
  <c r="E66" i="28"/>
  <c r="D67" i="28"/>
  <c r="E67" i="28"/>
  <c r="D68" i="28"/>
  <c r="E68" i="28"/>
  <c r="D69" i="28"/>
  <c r="E69" i="28"/>
  <c r="D70" i="28"/>
  <c r="E70" i="28"/>
  <c r="D71" i="28"/>
  <c r="E71" i="28"/>
  <c r="D72" i="28"/>
  <c r="E72" i="28"/>
  <c r="D73" i="28"/>
  <c r="E73" i="28"/>
  <c r="D74" i="28"/>
  <c r="E74" i="28"/>
  <c r="D75" i="28"/>
  <c r="E75" i="28"/>
  <c r="D76" i="28"/>
  <c r="E76" i="28"/>
  <c r="D77" i="28"/>
  <c r="E77" i="28"/>
  <c r="D78" i="28"/>
  <c r="D79" i="28"/>
  <c r="E79" i="28"/>
  <c r="D80" i="28"/>
  <c r="E80" i="28"/>
  <c r="D81" i="28"/>
  <c r="E81" i="28"/>
  <c r="D82" i="28"/>
  <c r="E82" i="28"/>
  <c r="D83" i="28"/>
  <c r="E83" i="28"/>
  <c r="D84" i="28"/>
  <c r="E84" i="28"/>
  <c r="D85" i="28"/>
  <c r="E85" i="28"/>
  <c r="D86" i="28"/>
  <c r="E86" i="28"/>
  <c r="D87" i="28"/>
  <c r="E87" i="28"/>
  <c r="D88" i="28"/>
  <c r="E88" i="28"/>
  <c r="D89" i="28"/>
  <c r="E89" i="28"/>
  <c r="D90" i="28"/>
  <c r="E90" i="28"/>
  <c r="D91" i="28"/>
  <c r="E91" i="28"/>
  <c r="C37" i="28"/>
  <c r="C38" i="28"/>
  <c r="C40" i="28"/>
  <c r="C41" i="28"/>
  <c r="C42" i="28"/>
  <c r="C43" i="28"/>
  <c r="C44" i="28"/>
  <c r="C46" i="28"/>
  <c r="C47" i="28"/>
  <c r="C49" i="28"/>
  <c r="C50" i="28"/>
  <c r="C51" i="28"/>
  <c r="C52" i="28"/>
  <c r="C53" i="28"/>
  <c r="C54" i="28"/>
  <c r="C55" i="28"/>
  <c r="C56" i="28"/>
  <c r="C57" i="28"/>
  <c r="C58" i="28"/>
  <c r="C59" i="28"/>
  <c r="C60" i="28"/>
  <c r="C61" i="28"/>
  <c r="C62" i="28"/>
  <c r="C63" i="28"/>
  <c r="C64" i="28"/>
  <c r="C65" i="28"/>
  <c r="C66" i="28"/>
  <c r="C67" i="28"/>
  <c r="C68" i="28"/>
  <c r="C69" i="28"/>
  <c r="C70" i="28"/>
  <c r="C71" i="28"/>
  <c r="C72" i="28"/>
  <c r="C73" i="28"/>
  <c r="C74" i="28"/>
  <c r="C75" i="28"/>
  <c r="C76" i="28"/>
  <c r="C77" i="28"/>
  <c r="C78" i="28"/>
  <c r="C79" i="28"/>
  <c r="C80" i="28"/>
  <c r="C81" i="28"/>
  <c r="C82" i="28"/>
  <c r="C83" i="28"/>
  <c r="C84" i="28"/>
  <c r="C85" i="28"/>
  <c r="C86" i="28"/>
  <c r="C87" i="28"/>
  <c r="C88" i="28"/>
  <c r="C89" i="28"/>
  <c r="C90" i="28"/>
  <c r="C91" i="28"/>
  <c r="C36" i="28"/>
  <c r="A88" i="28"/>
  <c r="A89" i="28"/>
  <c r="A90" i="28"/>
  <c r="A91" i="28"/>
  <c r="A66" i="28"/>
  <c r="A67" i="28"/>
  <c r="A68" i="28"/>
  <c r="A69" i="28"/>
  <c r="A70" i="28"/>
  <c r="A71" i="28"/>
  <c r="A72" i="28"/>
  <c r="A73" i="28"/>
  <c r="A74" i="28"/>
  <c r="A75" i="28"/>
  <c r="A76" i="28"/>
  <c r="A77" i="28"/>
  <c r="A78" i="28"/>
  <c r="A79" i="28"/>
  <c r="A80" i="28"/>
  <c r="A82" i="28"/>
  <c r="A83" i="28"/>
  <c r="A84" i="28"/>
  <c r="A85" i="28"/>
  <c r="A86" i="28"/>
  <c r="A87" i="28"/>
  <c r="A37" i="28"/>
  <c r="A38" i="28"/>
  <c r="A39" i="28"/>
  <c r="A40" i="28"/>
  <c r="A41" i="28"/>
  <c r="A42" i="28"/>
  <c r="A43" i="28"/>
  <c r="A44" i="28"/>
  <c r="A45" i="28"/>
  <c r="A46" i="28"/>
  <c r="A47" i="28"/>
  <c r="A48" i="28"/>
  <c r="A49" i="28"/>
  <c r="A50" i="28"/>
  <c r="A51" i="28"/>
  <c r="A52" i="28"/>
  <c r="A53" i="28"/>
  <c r="A54" i="28"/>
  <c r="A55" i="28"/>
  <c r="A56" i="28"/>
  <c r="A57" i="28"/>
  <c r="A58" i="28"/>
  <c r="A59" i="28"/>
  <c r="A60" i="28"/>
  <c r="A61" i="28"/>
  <c r="A62" i="28"/>
  <c r="A63" i="28"/>
  <c r="A64" i="28"/>
  <c r="A65" i="28"/>
  <c r="A36" i="28"/>
  <c r="C31" i="28"/>
  <c r="C30" i="28" s="1"/>
  <c r="A32" i="28"/>
  <c r="D25" i="28"/>
  <c r="F25" i="28" s="1"/>
  <c r="C25" i="28"/>
  <c r="D23" i="28"/>
  <c r="E23" i="28"/>
  <c r="C23" i="28"/>
  <c r="D19" i="28"/>
  <c r="D20" i="28"/>
  <c r="E20" i="28"/>
  <c r="D18" i="28"/>
  <c r="C20" i="28"/>
  <c r="C18" i="28"/>
  <c r="A23" i="28"/>
  <c r="A20" i="28"/>
  <c r="A19" i="28"/>
  <c r="D16" i="28"/>
  <c r="D15" i="28"/>
  <c r="E15" i="28"/>
  <c r="C15" i="28"/>
  <c r="C14" i="28"/>
  <c r="A16" i="28"/>
  <c r="A15" i="28"/>
  <c r="A14" i="28"/>
  <c r="D9" i="28"/>
  <c r="D10" i="28"/>
  <c r="D11" i="28"/>
  <c r="E11" i="28"/>
  <c r="D12" i="28"/>
  <c r="E12" i="28"/>
  <c r="C10" i="28"/>
  <c r="C11" i="28"/>
  <c r="C12" i="28"/>
  <c r="C9" i="28"/>
  <c r="A12" i="28"/>
  <c r="A10" i="28"/>
  <c r="A11" i="28"/>
  <c r="A9" i="28"/>
  <c r="G193" i="28"/>
  <c r="F193" i="28"/>
  <c r="G192" i="28"/>
  <c r="F192" i="28"/>
  <c r="G186" i="28"/>
  <c r="F186" i="28"/>
  <c r="G185" i="28"/>
  <c r="F185" i="28"/>
  <c r="G184" i="28"/>
  <c r="F184" i="28"/>
  <c r="G32" i="28"/>
  <c r="F32" i="28"/>
  <c r="G31" i="28"/>
  <c r="F31" i="28"/>
  <c r="G28" i="28"/>
  <c r="F28" i="28"/>
  <c r="G19" i="28" l="1"/>
  <c r="F19" i="28"/>
  <c r="E13" i="28"/>
  <c r="G15" i="28"/>
  <c r="F15" i="28"/>
  <c r="G18" i="28"/>
  <c r="F18" i="28"/>
  <c r="G11" i="28"/>
  <c r="F11" i="28"/>
  <c r="G20" i="28"/>
  <c r="F20" i="28"/>
  <c r="E17" i="28"/>
  <c r="G25" i="28"/>
  <c r="D35" i="28"/>
  <c r="D34" i="28" s="1"/>
  <c r="G23" i="28"/>
  <c r="C13" i="28"/>
  <c r="C17" i="28"/>
  <c r="D17" i="28"/>
  <c r="G16" i="28"/>
  <c r="F23" i="28"/>
  <c r="C8" i="28"/>
  <c r="F12" i="28"/>
  <c r="D13" i="28"/>
  <c r="F16" i="28"/>
  <c r="G12" i="28"/>
  <c r="D8" i="28"/>
  <c r="E128" i="22"/>
  <c r="F128" i="22"/>
  <c r="F133" i="22"/>
  <c r="F132" i="22"/>
  <c r="F131" i="22"/>
  <c r="F113" i="22"/>
  <c r="F114" i="22"/>
  <c r="F121" i="22"/>
  <c r="F107" i="22"/>
  <c r="F106" i="22"/>
  <c r="F105" i="22"/>
  <c r="F112" i="22"/>
  <c r="F119" i="22"/>
  <c r="F115" i="22"/>
  <c r="F103" i="22" s="1"/>
  <c r="F104" i="22"/>
  <c r="F100" i="22"/>
  <c r="F99" i="22"/>
  <c r="F86" i="22"/>
  <c r="F72" i="22"/>
  <c r="F65" i="22"/>
  <c r="F63" i="22"/>
  <c r="F84" i="22"/>
  <c r="F83" i="22"/>
  <c r="F82" i="22"/>
  <c r="F77" i="22"/>
  <c r="F75" i="22"/>
  <c r="F69" i="22"/>
  <c r="F68" i="22"/>
  <c r="F67" i="22"/>
  <c r="F61" i="22"/>
  <c r="F59" i="22"/>
  <c r="F58" i="22"/>
  <c r="F54" i="22"/>
  <c r="G13" i="28" l="1"/>
  <c r="G17" i="28"/>
  <c r="F17" i="28"/>
  <c r="F13" i="28"/>
  <c r="F130" i="22"/>
  <c r="F53" i="22"/>
  <c r="F31" i="22"/>
  <c r="B92" i="9" l="1"/>
  <c r="B91" i="9"/>
  <c r="F277" i="26"/>
  <c r="F89" i="26" l="1"/>
  <c r="F48" i="26"/>
  <c r="F98" i="26"/>
  <c r="F100" i="26"/>
  <c r="F28" i="22"/>
  <c r="D134" i="14" l="1"/>
  <c r="D138" i="14"/>
  <c r="C138" i="14"/>
  <c r="D139" i="14" l="1"/>
  <c r="D143" i="14" s="1"/>
  <c r="F136" i="14"/>
  <c r="F137" i="14"/>
  <c r="F132" i="14"/>
  <c r="F131" i="14"/>
  <c r="E128" i="14"/>
  <c r="F125" i="14"/>
  <c r="F67" i="14"/>
  <c r="F59" i="14"/>
  <c r="F24" i="14" l="1"/>
  <c r="F34" i="14"/>
  <c r="F32" i="14"/>
  <c r="F28" i="14"/>
  <c r="F29" i="14"/>
  <c r="F30" i="14"/>
  <c r="F27" i="14"/>
  <c r="F18" i="14"/>
  <c r="F19" i="14"/>
  <c r="F20" i="14"/>
  <c r="F21" i="14"/>
  <c r="F17" i="14"/>
  <c r="F11" i="14"/>
  <c r="F12" i="14"/>
  <c r="F13" i="14"/>
  <c r="F14" i="14"/>
  <c r="F10" i="14"/>
  <c r="F8" i="14"/>
  <c r="F375" i="26" l="1"/>
  <c r="F374" i="26" s="1"/>
  <c r="F372" i="26" s="1"/>
  <c r="F264" i="26" l="1"/>
  <c r="F263" i="26"/>
  <c r="F262" i="26"/>
  <c r="F269" i="26"/>
  <c r="F268" i="26" s="1"/>
  <c r="F266" i="26" s="1"/>
  <c r="F249" i="26"/>
  <c r="F17" i="26"/>
  <c r="N11" i="26" s="1"/>
  <c r="F207" i="26"/>
  <c r="F213" i="26"/>
  <c r="F208" i="26"/>
  <c r="F211" i="26"/>
  <c r="F51" i="26"/>
  <c r="F120" i="26"/>
  <c r="F31" i="26"/>
  <c r="N18" i="26" s="1"/>
  <c r="F30" i="26"/>
  <c r="N17" i="26" s="1"/>
  <c r="F16" i="26"/>
  <c r="N10" i="26" s="1"/>
  <c r="F9" i="22" l="1"/>
  <c r="E10" i="28" s="1"/>
  <c r="F8" i="22"/>
  <c r="E9" i="28" s="1"/>
  <c r="F9" i="28" l="1"/>
  <c r="G9" i="28"/>
  <c r="G10" i="28"/>
  <c r="F10" i="28"/>
  <c r="E8" i="28"/>
  <c r="F8" i="28" s="1"/>
  <c r="F301" i="26"/>
  <c r="F294" i="26"/>
  <c r="G8" i="28" l="1"/>
  <c r="F155" i="26"/>
  <c r="F66" i="26"/>
  <c r="F99" i="26"/>
  <c r="F101" i="26"/>
  <c r="F342" i="26"/>
  <c r="F343" i="26"/>
  <c r="F137" i="26"/>
  <c r="F339" i="26" l="1"/>
  <c r="F309" i="26"/>
  <c r="F116" i="26" l="1"/>
  <c r="F24" i="26" l="1"/>
  <c r="J33" i="9" l="1"/>
  <c r="N91" i="9"/>
  <c r="N92" i="9"/>
  <c r="J90" i="9"/>
  <c r="N90" i="9" s="1"/>
  <c r="N35" i="9" l="1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34" i="9"/>
  <c r="I7" i="9"/>
  <c r="J7" i="9"/>
  <c r="J93" i="9" s="1"/>
  <c r="K7" i="9"/>
  <c r="H7" i="9"/>
  <c r="N32" i="9"/>
  <c r="N31" i="9"/>
  <c r="N30" i="9"/>
  <c r="N29" i="9"/>
  <c r="N28" i="9"/>
  <c r="N27" i="9"/>
  <c r="N33" i="9" l="1"/>
  <c r="E59" i="24"/>
  <c r="E6" i="24" l="1"/>
  <c r="E78" i="28"/>
  <c r="E35" i="28" s="1"/>
  <c r="F23" i="26"/>
  <c r="F22" i="26"/>
  <c r="F21" i="26"/>
  <c r="F20" i="26"/>
  <c r="G35" i="28" l="1"/>
  <c r="F35" i="28"/>
  <c r="F35" i="26"/>
  <c r="F33" i="26"/>
  <c r="F25" i="26" l="1"/>
  <c r="F25" i="22" l="1"/>
  <c r="D203" i="24" l="1"/>
  <c r="E203" i="24"/>
  <c r="E206" i="24"/>
  <c r="E130" i="22" l="1"/>
  <c r="E98" i="22"/>
  <c r="E53" i="22"/>
  <c r="E31" i="22"/>
  <c r="E25" i="22"/>
  <c r="E23" i="22"/>
  <c r="F23" i="22"/>
  <c r="E12" i="22"/>
  <c r="F12" i="22"/>
  <c r="E7" i="22"/>
  <c r="F7" i="22"/>
  <c r="E103" i="22"/>
  <c r="D130" i="22"/>
  <c r="E6" i="22" l="1"/>
  <c r="F6" i="22"/>
  <c r="F134" i="26"/>
  <c r="D358" i="26" l="1"/>
  <c r="F181" i="26"/>
  <c r="E181" i="26"/>
  <c r="F282" i="26" l="1"/>
  <c r="F287" i="26"/>
  <c r="F288" i="26"/>
  <c r="F305" i="26"/>
  <c r="F304" i="26" s="1"/>
  <c r="F281" i="26"/>
  <c r="F279" i="26"/>
  <c r="F156" i="26"/>
  <c r="F154" i="26"/>
  <c r="F94" i="26"/>
  <c r="F108" i="26"/>
  <c r="F126" i="26"/>
  <c r="F70" i="26"/>
  <c r="F68" i="26"/>
  <c r="F72" i="26"/>
  <c r="F64" i="26"/>
  <c r="F65" i="26"/>
  <c r="F47" i="26"/>
  <c r="F84" i="26"/>
  <c r="F83" i="26"/>
  <c r="F82" i="26"/>
  <c r="F81" i="26"/>
  <c r="F46" i="26"/>
  <c r="F45" i="26"/>
  <c r="F118" i="26"/>
  <c r="F119" i="26"/>
  <c r="F124" i="26"/>
  <c r="F130" i="26"/>
  <c r="F117" i="26"/>
  <c r="D25" i="22"/>
  <c r="F59" i="26" l="1"/>
  <c r="F38" i="26"/>
  <c r="N25" i="26" s="1"/>
  <c r="N31" i="26" s="1"/>
  <c r="F37" i="26"/>
  <c r="N24" i="26" s="1"/>
  <c r="N30" i="26" s="1"/>
  <c r="F12" i="26"/>
  <c r="F11" i="26"/>
  <c r="F10" i="26" l="1"/>
  <c r="D218" i="26"/>
  <c r="E218" i="26"/>
  <c r="F218" i="26"/>
  <c r="D53" i="22" l="1"/>
  <c r="D31" i="22"/>
  <c r="E59" i="26"/>
  <c r="D299" i="26" l="1"/>
  <c r="D298" i="26" s="1"/>
  <c r="E299" i="26"/>
  <c r="E298" i="26" s="1"/>
  <c r="E368" i="26"/>
  <c r="E377" i="26"/>
  <c r="D380" i="26"/>
  <c r="L12" i="26" s="1"/>
  <c r="D383" i="26"/>
  <c r="L19" i="26" s="1"/>
  <c r="E318" i="26"/>
  <c r="D318" i="26"/>
  <c r="L32" i="26" l="1"/>
  <c r="D382" i="26"/>
  <c r="D379" i="26"/>
  <c r="E309" i="26"/>
  <c r="D309" i="26"/>
  <c r="D308" i="26" s="1"/>
  <c r="E273" i="26"/>
  <c r="E276" i="26"/>
  <c r="E286" i="26"/>
  <c r="D286" i="26"/>
  <c r="D276" i="26"/>
  <c r="D377" i="26" l="1"/>
  <c r="D275" i="26"/>
  <c r="D273" i="26" s="1"/>
  <c r="D350" i="26"/>
  <c r="D349" i="26" s="1"/>
  <c r="D353" i="26"/>
  <c r="D352" i="26" s="1"/>
  <c r="E206" i="26"/>
  <c r="D206" i="26"/>
  <c r="D200" i="26"/>
  <c r="D198" i="26" s="1"/>
  <c r="E200" i="26"/>
  <c r="D168" i="26"/>
  <c r="D347" i="26" l="1"/>
  <c r="N10" i="9" l="1"/>
  <c r="N11" i="9"/>
  <c r="N12" i="9"/>
  <c r="N13" i="9"/>
  <c r="N14" i="9"/>
  <c r="N15" i="9"/>
  <c r="N16" i="9"/>
  <c r="N17" i="9"/>
  <c r="N18" i="9"/>
  <c r="N20" i="9"/>
  <c r="N21" i="9"/>
  <c r="N22" i="9"/>
  <c r="N23" i="9"/>
  <c r="N24" i="9"/>
  <c r="N25" i="9"/>
  <c r="N26" i="9"/>
  <c r="N9" i="9"/>
  <c r="N8" i="9"/>
  <c r="M8" i="9" l="1"/>
  <c r="H5" i="9"/>
  <c r="J5" i="9" s="1"/>
  <c r="L5" i="9" s="1"/>
  <c r="N5" i="9" s="1"/>
  <c r="G5" i="9"/>
  <c r="I5" i="9" s="1"/>
  <c r="K5" i="9" s="1"/>
  <c r="M5" i="9" s="1"/>
  <c r="E196" i="24"/>
  <c r="E177" i="28" s="1"/>
  <c r="D6" i="24" l="1"/>
  <c r="C206" i="24"/>
  <c r="C203" i="24"/>
  <c r="C98" i="24"/>
  <c r="C19" i="24"/>
  <c r="C48" i="28" s="1"/>
  <c r="C16" i="24"/>
  <c r="C45" i="28" s="1"/>
  <c r="C35" i="28" s="1"/>
  <c r="C73" i="24" l="1"/>
  <c r="C117" i="28"/>
  <c r="C92" i="28" s="1"/>
  <c r="C34" i="28" s="1"/>
  <c r="C6" i="24"/>
  <c r="C5" i="24" s="1"/>
  <c r="D177" i="26"/>
  <c r="D167" i="26"/>
  <c r="D166" i="26" s="1"/>
  <c r="D143" i="26"/>
  <c r="E115" i="26"/>
  <c r="D115" i="26"/>
  <c r="E123" i="26"/>
  <c r="D123" i="26"/>
  <c r="D105" i="26"/>
  <c r="D104" i="26" s="1"/>
  <c r="D92" i="26"/>
  <c r="D10" i="26"/>
  <c r="D114" i="26" l="1"/>
  <c r="D3" i="24"/>
  <c r="E3" i="24"/>
  <c r="C3" i="24"/>
  <c r="E4" i="22"/>
  <c r="F4" i="22"/>
  <c r="D4" i="22"/>
  <c r="D7" i="22" l="1"/>
  <c r="D12" i="22"/>
  <c r="D241" i="26" l="1"/>
  <c r="D240" i="26" s="1"/>
  <c r="E241" i="26"/>
  <c r="E240" i="26" s="1"/>
  <c r="E238" i="26" s="1"/>
  <c r="F241" i="26"/>
  <c r="F240" i="26" s="1"/>
  <c r="F238" i="26" s="1"/>
  <c r="F206" i="26" l="1"/>
  <c r="F146" i="26"/>
  <c r="D130" i="14" l="1"/>
  <c r="D142" i="14" s="1"/>
  <c r="D19" i="26" l="1"/>
  <c r="D39" i="26"/>
  <c r="D36" i="26" l="1"/>
  <c r="D9" i="26"/>
  <c r="H59" i="14"/>
  <c r="G59" i="14"/>
  <c r="F7" i="9"/>
  <c r="G7" i="9"/>
  <c r="E7" i="9"/>
  <c r="M7" i="9" l="1"/>
  <c r="G131" i="14"/>
  <c r="H131" i="14" s="1"/>
  <c r="G132" i="14"/>
  <c r="H132" i="14" s="1"/>
  <c r="G133" i="14"/>
  <c r="H133" i="14" s="1"/>
  <c r="G135" i="14"/>
  <c r="H135" i="14" s="1"/>
  <c r="G136" i="14"/>
  <c r="H136" i="14" s="1"/>
  <c r="G137" i="14"/>
  <c r="H137" i="14" s="1"/>
  <c r="D23" i="22"/>
  <c r="H19" i="22"/>
  <c r="D137" i="26"/>
  <c r="D136" i="26" l="1"/>
  <c r="D6" i="22"/>
  <c r="F141" i="14"/>
  <c r="G141" i="14" s="1"/>
  <c r="H141" i="14" s="1"/>
  <c r="F140" i="14"/>
  <c r="G140" i="14" s="1"/>
  <c r="H140" i="14" s="1"/>
  <c r="F130" i="14"/>
  <c r="H148" i="22"/>
  <c r="G148" i="22"/>
  <c r="G147" i="22"/>
  <c r="G146" i="22"/>
  <c r="G145" i="22"/>
  <c r="G144" i="22"/>
  <c r="G143" i="22"/>
  <c r="H142" i="22"/>
  <c r="G142" i="22"/>
  <c r="H141" i="22"/>
  <c r="G141" i="22"/>
  <c r="H140" i="22"/>
  <c r="G140" i="22"/>
  <c r="H139" i="22"/>
  <c r="G139" i="22"/>
  <c r="H138" i="22"/>
  <c r="G138" i="22"/>
  <c r="G137" i="22"/>
  <c r="H135" i="22"/>
  <c r="G135" i="22"/>
  <c r="H134" i="22"/>
  <c r="G134" i="22"/>
  <c r="H133" i="22"/>
  <c r="G133" i="22"/>
  <c r="H132" i="22"/>
  <c r="G132" i="22"/>
  <c r="G131" i="22"/>
  <c r="G129" i="22"/>
  <c r="H126" i="22"/>
  <c r="G126" i="22"/>
  <c r="G125" i="22"/>
  <c r="H124" i="22"/>
  <c r="G124" i="22"/>
  <c r="H123" i="22"/>
  <c r="G123" i="22"/>
  <c r="G122" i="22"/>
  <c r="H121" i="22"/>
  <c r="G121" i="22"/>
  <c r="H120" i="22"/>
  <c r="G120" i="22"/>
  <c r="H119" i="22"/>
  <c r="G119" i="22"/>
  <c r="H118" i="22"/>
  <c r="G118" i="22"/>
  <c r="H117" i="22"/>
  <c r="G117" i="22"/>
  <c r="G116" i="22"/>
  <c r="H114" i="22"/>
  <c r="G114" i="22"/>
  <c r="H113" i="22"/>
  <c r="G113" i="22"/>
  <c r="H112" i="22"/>
  <c r="G112" i="22"/>
  <c r="G110" i="22"/>
  <c r="H109" i="22"/>
  <c r="G109" i="22"/>
  <c r="G107" i="22"/>
  <c r="H106" i="22"/>
  <c r="G106" i="22"/>
  <c r="H105" i="22"/>
  <c r="G105" i="22"/>
  <c r="G104" i="22"/>
  <c r="G102" i="22"/>
  <c r="H101" i="22"/>
  <c r="G101" i="22"/>
  <c r="H99" i="22"/>
  <c r="G99" i="22"/>
  <c r="H95" i="22"/>
  <c r="G95" i="22"/>
  <c r="G94" i="22"/>
  <c r="G91" i="22"/>
  <c r="G88" i="22"/>
  <c r="H86" i="22"/>
  <c r="G86" i="22"/>
  <c r="H84" i="22"/>
  <c r="G84" i="22"/>
  <c r="H83" i="22"/>
  <c r="G83" i="22"/>
  <c r="H82" i="22"/>
  <c r="G82" i="22"/>
  <c r="H81" i="22"/>
  <c r="G81" i="22"/>
  <c r="H80" i="22"/>
  <c r="G80" i="22"/>
  <c r="H79" i="22"/>
  <c r="G79" i="22"/>
  <c r="G78" i="22"/>
  <c r="H8" i="22"/>
  <c r="G8" i="22"/>
  <c r="H11" i="22"/>
  <c r="G11" i="22"/>
  <c r="H10" i="22"/>
  <c r="G10" i="22"/>
  <c r="G19" i="22"/>
  <c r="H18" i="22"/>
  <c r="G18" i="22"/>
  <c r="H17" i="22"/>
  <c r="G17" i="22"/>
  <c r="H16" i="22"/>
  <c r="G16" i="22"/>
  <c r="H15" i="22"/>
  <c r="G15" i="22"/>
  <c r="G13" i="22"/>
  <c r="G51" i="22"/>
  <c r="H50" i="22"/>
  <c r="G50" i="22"/>
  <c r="H49" i="22"/>
  <c r="G49" i="22"/>
  <c r="H48" i="22"/>
  <c r="G48" i="22"/>
  <c r="H47" i="22"/>
  <c r="G47" i="22"/>
  <c r="H46" i="22"/>
  <c r="G46" i="22"/>
  <c r="H45" i="22"/>
  <c r="G45" i="22"/>
  <c r="H44" i="22"/>
  <c r="G44" i="22"/>
  <c r="H41" i="22"/>
  <c r="G41" i="22"/>
  <c r="H40" i="22"/>
  <c r="G40" i="22"/>
  <c r="H39" i="22"/>
  <c r="G39" i="22"/>
  <c r="G38" i="22"/>
  <c r="G37" i="22"/>
  <c r="G36" i="22"/>
  <c r="H35" i="22"/>
  <c r="G35" i="22"/>
  <c r="H34" i="22"/>
  <c r="G34" i="22"/>
  <c r="H33" i="22"/>
  <c r="G33" i="22"/>
  <c r="H32" i="22"/>
  <c r="G32" i="22"/>
  <c r="H75" i="22"/>
  <c r="G75" i="22"/>
  <c r="G74" i="22"/>
  <c r="H71" i="22"/>
  <c r="G71" i="22"/>
  <c r="G70" i="22"/>
  <c r="H69" i="22"/>
  <c r="G69" i="22"/>
  <c r="H68" i="22"/>
  <c r="G68" i="22"/>
  <c r="H67" i="22"/>
  <c r="G67" i="22"/>
  <c r="H66" i="22"/>
  <c r="G66" i="22"/>
  <c r="H65" i="22"/>
  <c r="G65" i="22"/>
  <c r="H64" i="22"/>
  <c r="G64" i="22"/>
  <c r="H63" i="22"/>
  <c r="G63" i="22"/>
  <c r="H61" i="22"/>
  <c r="G61" i="22"/>
  <c r="H59" i="22"/>
  <c r="G59" i="22"/>
  <c r="H58" i="22"/>
  <c r="G58" i="22"/>
  <c r="H57" i="22"/>
  <c r="G57" i="22"/>
  <c r="H56" i="22"/>
  <c r="G56" i="22"/>
  <c r="H55" i="22"/>
  <c r="G55" i="22"/>
  <c r="H54" i="22"/>
  <c r="G54" i="22"/>
  <c r="D112" i="26" l="1"/>
  <c r="G103" i="22"/>
  <c r="G143" i="14"/>
  <c r="H143" i="14" s="1"/>
  <c r="G139" i="14"/>
  <c r="H139" i="14" s="1"/>
  <c r="G381" i="26"/>
  <c r="G367" i="26"/>
  <c r="H362" i="26"/>
  <c r="G362" i="26"/>
  <c r="H359" i="26"/>
  <c r="G359" i="26"/>
  <c r="G345" i="26"/>
  <c r="G344" i="26"/>
  <c r="G343" i="26"/>
  <c r="G341" i="26"/>
  <c r="G326" i="26"/>
  <c r="G319" i="26"/>
  <c r="G317" i="26"/>
  <c r="G315" i="26"/>
  <c r="G314" i="26"/>
  <c r="G305" i="26"/>
  <c r="G302" i="26"/>
  <c r="G297" i="26"/>
  <c r="G283" i="26"/>
  <c r="G282" i="26"/>
  <c r="G281" i="26"/>
  <c r="G280" i="26"/>
  <c r="G277" i="26"/>
  <c r="G265" i="26"/>
  <c r="G257" i="26"/>
  <c r="G237" i="26"/>
  <c r="G225" i="26"/>
  <c r="G224" i="26"/>
  <c r="G219" i="26"/>
  <c r="G217" i="26"/>
  <c r="H216" i="26"/>
  <c r="G216" i="26"/>
  <c r="H215" i="26"/>
  <c r="G215" i="26"/>
  <c r="G212" i="26"/>
  <c r="G211" i="26"/>
  <c r="G210" i="26"/>
  <c r="H209" i="26"/>
  <c r="G209" i="26"/>
  <c r="H208" i="26"/>
  <c r="G208" i="26"/>
  <c r="H207" i="26"/>
  <c r="G207" i="26"/>
  <c r="H202" i="26"/>
  <c r="G202" i="26"/>
  <c r="G192" i="26"/>
  <c r="G191" i="26"/>
  <c r="G190" i="26"/>
  <c r="G189" i="26"/>
  <c r="G188" i="26"/>
  <c r="G187" i="26"/>
  <c r="G186" i="26"/>
  <c r="G185" i="26"/>
  <c r="G184" i="26"/>
  <c r="G183" i="26"/>
  <c r="G182" i="26"/>
  <c r="G180" i="26"/>
  <c r="G179" i="26"/>
  <c r="G178" i="26"/>
  <c r="G177" i="26"/>
  <c r="G176" i="26"/>
  <c r="G175" i="26"/>
  <c r="G174" i="26"/>
  <c r="G173" i="26"/>
  <c r="G169" i="26"/>
  <c r="G167" i="26"/>
  <c r="G166" i="26"/>
  <c r="H162" i="26"/>
  <c r="G162" i="26"/>
  <c r="H157" i="26"/>
  <c r="G157" i="26"/>
  <c r="G153" i="26"/>
  <c r="G152" i="26"/>
  <c r="G149" i="26"/>
  <c r="H147" i="26"/>
  <c r="G147" i="26"/>
  <c r="H146" i="26"/>
  <c r="G146" i="26"/>
  <c r="H145" i="26"/>
  <c r="G145" i="26"/>
  <c r="H144" i="26"/>
  <c r="G144" i="26"/>
  <c r="H139" i="26"/>
  <c r="G139" i="26"/>
  <c r="H131" i="26"/>
  <c r="G131" i="26"/>
  <c r="H129" i="26"/>
  <c r="G129" i="26"/>
  <c r="H128" i="26"/>
  <c r="G128" i="26"/>
  <c r="H127" i="26"/>
  <c r="G127" i="26"/>
  <c r="H111" i="26"/>
  <c r="G111" i="26"/>
  <c r="H109" i="26"/>
  <c r="G109" i="26"/>
  <c r="H103" i="26"/>
  <c r="G103" i="26"/>
  <c r="H98" i="26"/>
  <c r="G98" i="26"/>
  <c r="G93" i="26"/>
  <c r="H90" i="26"/>
  <c r="G90" i="26"/>
  <c r="G77" i="26"/>
  <c r="H76" i="26"/>
  <c r="G76" i="26"/>
  <c r="H71" i="26"/>
  <c r="G71" i="26"/>
  <c r="G69" i="26"/>
  <c r="H63" i="26"/>
  <c r="G63" i="26"/>
  <c r="H62" i="26"/>
  <c r="G62" i="26"/>
  <c r="H61" i="26"/>
  <c r="G61" i="26"/>
  <c r="H60" i="26"/>
  <c r="G60" i="26"/>
  <c r="H55" i="26"/>
  <c r="G55" i="26"/>
  <c r="H53" i="26"/>
  <c r="G53" i="26"/>
  <c r="H52" i="26"/>
  <c r="G52" i="26"/>
  <c r="G47" i="26"/>
  <c r="G40" i="26"/>
  <c r="H38" i="26"/>
  <c r="G38" i="26"/>
  <c r="H37" i="26"/>
  <c r="G37" i="26"/>
  <c r="H35" i="26"/>
  <c r="G35" i="26"/>
  <c r="H34" i="26"/>
  <c r="G34" i="26"/>
  <c r="H33" i="26"/>
  <c r="G33" i="26"/>
  <c r="H27" i="26"/>
  <c r="G27" i="26"/>
  <c r="H24" i="26"/>
  <c r="G24" i="26"/>
  <c r="H23" i="26"/>
  <c r="G23" i="26"/>
  <c r="H22" i="26"/>
  <c r="G22" i="26"/>
  <c r="H21" i="26"/>
  <c r="G21" i="26"/>
  <c r="H20" i="26"/>
  <c r="G20" i="26"/>
  <c r="H15" i="26"/>
  <c r="G15" i="26"/>
  <c r="H14" i="26"/>
  <c r="G14" i="26"/>
  <c r="H12" i="26"/>
  <c r="G12" i="26"/>
  <c r="H11" i="26"/>
  <c r="G11" i="26"/>
  <c r="D140" i="14" l="1"/>
  <c r="D144" i="14" s="1"/>
  <c r="F144" i="14" s="1"/>
  <c r="D141" i="14"/>
  <c r="F66" i="14"/>
  <c r="G66" i="14" s="1"/>
  <c r="F60" i="14"/>
  <c r="G60" i="14" s="1"/>
  <c r="G55" i="14"/>
  <c r="F53" i="14"/>
  <c r="G53" i="14" s="1"/>
  <c r="F122" i="14"/>
  <c r="F121" i="14"/>
  <c r="F46" i="14"/>
  <c r="F47" i="14"/>
  <c r="F48" i="14"/>
  <c r="F49" i="14"/>
  <c r="F45" i="14"/>
  <c r="H122" i="14" l="1"/>
  <c r="G122" i="14"/>
  <c r="H121" i="14"/>
  <c r="G121" i="14"/>
  <c r="D145" i="14"/>
  <c r="F145" i="14" s="1"/>
  <c r="F256" i="26"/>
  <c r="F98" i="22"/>
  <c r="G100" i="22" l="1"/>
  <c r="H100" i="22"/>
  <c r="H42" i="22"/>
  <c r="G42" i="22"/>
  <c r="G262" i="26"/>
  <c r="H262" i="26"/>
  <c r="G263" i="26"/>
  <c r="H263" i="26"/>
  <c r="H264" i="26"/>
  <c r="G264" i="26"/>
  <c r="G249" i="26"/>
  <c r="H249" i="26"/>
  <c r="F255" i="26"/>
  <c r="G256" i="26"/>
  <c r="G89" i="26" l="1"/>
  <c r="H89" i="26"/>
  <c r="G120" i="26"/>
  <c r="H120" i="26"/>
  <c r="F253" i="26"/>
  <c r="G253" i="26" s="1"/>
  <c r="G255" i="26"/>
  <c r="G213" i="26" l="1"/>
  <c r="F366" i="26"/>
  <c r="F365" i="26" l="1"/>
  <c r="F363" i="26" s="1"/>
  <c r="G363" i="26" s="1"/>
  <c r="G366" i="26"/>
  <c r="G365" i="26" l="1"/>
  <c r="F380" i="26" l="1"/>
  <c r="N12" i="26" s="1"/>
  <c r="F383" i="26"/>
  <c r="N19" i="26" s="1"/>
  <c r="F358" i="26"/>
  <c r="F143" i="26"/>
  <c r="F136" i="26"/>
  <c r="F32" i="26"/>
  <c r="N32" i="26" l="1"/>
  <c r="G380" i="26"/>
  <c r="G383" i="26"/>
  <c r="G304" i="26"/>
  <c r="G201" i="26" l="1"/>
  <c r="H201" i="26"/>
  <c r="G220" i="26"/>
  <c r="H220" i="26"/>
  <c r="G232" i="26"/>
  <c r="H232" i="26"/>
  <c r="G134" i="26"/>
  <c r="H134" i="26"/>
  <c r="G222" i="26"/>
  <c r="H222" i="26"/>
  <c r="F19" i="26"/>
  <c r="G25" i="26"/>
  <c r="H25" i="26"/>
  <c r="F9" i="26" l="1"/>
  <c r="G16" i="26"/>
  <c r="H16" i="26"/>
  <c r="G17" i="26"/>
  <c r="H17" i="26"/>
  <c r="G116" i="26" l="1"/>
  <c r="H116" i="26"/>
  <c r="G45" i="26"/>
  <c r="H45" i="26"/>
  <c r="G119" i="26"/>
  <c r="H119" i="26"/>
  <c r="G118" i="26"/>
  <c r="H118" i="26"/>
  <c r="G48" i="26"/>
  <c r="H48" i="26"/>
  <c r="G99" i="26"/>
  <c r="H99" i="26"/>
  <c r="F332" i="26"/>
  <c r="F318" i="26" s="1"/>
  <c r="G332" i="26" l="1"/>
  <c r="G84" i="26" l="1"/>
  <c r="H84" i="26"/>
  <c r="G130" i="26"/>
  <c r="H130" i="26"/>
  <c r="G83" i="26"/>
  <c r="H83" i="26"/>
  <c r="G82" i="26"/>
  <c r="G68" i="26"/>
  <c r="G81" i="26"/>
  <c r="H81" i="26"/>
  <c r="F106" i="26"/>
  <c r="G108" i="26" l="1"/>
  <c r="H108" i="26"/>
  <c r="G106" i="26"/>
  <c r="G156" i="26" l="1"/>
  <c r="G126" i="26"/>
  <c r="H126" i="26"/>
  <c r="G94" i="26"/>
  <c r="H94" i="26"/>
  <c r="G66" i="26"/>
  <c r="H66" i="26"/>
  <c r="G64" i="26"/>
  <c r="H64" i="26"/>
  <c r="G72" i="26"/>
  <c r="H72" i="26"/>
  <c r="H221" i="26" l="1"/>
  <c r="G221" i="26"/>
  <c r="G223" i="26"/>
  <c r="H223" i="26"/>
  <c r="H231" i="26"/>
  <c r="G231" i="26"/>
  <c r="G233" i="26"/>
  <c r="H233" i="26"/>
  <c r="H234" i="26"/>
  <c r="G234" i="26"/>
  <c r="F230" i="26"/>
  <c r="F229" i="26" l="1"/>
  <c r="G197" i="26" l="1"/>
  <c r="F196" i="26"/>
  <c r="D357" i="26"/>
  <c r="D361" i="26"/>
  <c r="F303" i="26"/>
  <c r="F300" i="26"/>
  <c r="F289" i="26"/>
  <c r="F286" i="26" s="1"/>
  <c r="F276" i="26"/>
  <c r="F299" i="26" l="1"/>
  <c r="D360" i="26"/>
  <c r="D355" i="26" s="1"/>
  <c r="G289" i="26"/>
  <c r="G287" i="26"/>
  <c r="G288" i="26"/>
  <c r="F195" i="26"/>
  <c r="F193" i="26" s="1"/>
  <c r="G196" i="26"/>
  <c r="G301" i="26"/>
  <c r="G279" i="26"/>
  <c r="G300" i="26"/>
  <c r="G294" i="26"/>
  <c r="G303" i="26"/>
  <c r="F298" i="26" l="1"/>
  <c r="G299" i="26"/>
  <c r="G276" i="26"/>
  <c r="G286" i="26"/>
  <c r="G193" i="26"/>
  <c r="G195" i="26"/>
  <c r="F275" i="26"/>
  <c r="F273" i="26" s="1"/>
  <c r="G313" i="26" l="1"/>
  <c r="G340" i="26"/>
  <c r="G310" i="26"/>
  <c r="G273" i="26"/>
  <c r="G275" i="26"/>
  <c r="G337" i="26"/>
  <c r="G338" i="26"/>
  <c r="G322" i="26"/>
  <c r="G311" i="26"/>
  <c r="G342" i="26"/>
  <c r="G298" i="26"/>
  <c r="F336" i="26"/>
  <c r="F248" i="26"/>
  <c r="G6" i="22" l="1"/>
  <c r="F261" i="26"/>
  <c r="H6" i="22" l="1"/>
  <c r="F371" i="26"/>
  <c r="F370" i="26" l="1"/>
  <c r="G371" i="26"/>
  <c r="G18" i="26" l="1"/>
  <c r="G58" i="26"/>
  <c r="G370" i="26"/>
  <c r="E10" i="26"/>
  <c r="E19" i="26"/>
  <c r="G10" i="26" l="1"/>
  <c r="H10" i="26"/>
  <c r="G19" i="26"/>
  <c r="H19" i="26"/>
  <c r="D128" i="22"/>
  <c r="D103" i="22"/>
  <c r="D98" i="22"/>
  <c r="D196" i="26" l="1"/>
  <c r="D193" i="26" s="1"/>
  <c r="F369" i="26" l="1"/>
  <c r="F368" i="26" s="1"/>
  <c r="F361" i="26"/>
  <c r="F357" i="26"/>
  <c r="F161" i="26"/>
  <c r="F163" i="26"/>
  <c r="F158" i="26"/>
  <c r="F125" i="26"/>
  <c r="F123" i="26" s="1"/>
  <c r="F115" i="26"/>
  <c r="F107" i="26"/>
  <c r="F97" i="26"/>
  <c r="F95" i="26"/>
  <c r="E88" i="26"/>
  <c r="F91" i="26"/>
  <c r="F39" i="26"/>
  <c r="F114" i="26" l="1"/>
  <c r="F112" i="26" s="1"/>
  <c r="F36" i="26"/>
  <c r="F29" i="26"/>
  <c r="G117" i="26"/>
  <c r="G115" i="26" s="1"/>
  <c r="H117" i="26"/>
  <c r="G154" i="26"/>
  <c r="H154" i="26"/>
  <c r="G95" i="26"/>
  <c r="H95" i="26"/>
  <c r="G125" i="26"/>
  <c r="H125" i="26"/>
  <c r="G46" i="26"/>
  <c r="H46" i="26"/>
  <c r="G85" i="26"/>
  <c r="G97" i="26"/>
  <c r="G124" i="26"/>
  <c r="H124" i="26"/>
  <c r="G50" i="26"/>
  <c r="H50" i="26"/>
  <c r="G79" i="26"/>
  <c r="H79" i="26"/>
  <c r="G101" i="26"/>
  <c r="G158" i="26"/>
  <c r="H158" i="26"/>
  <c r="F360" i="26"/>
  <c r="G30" i="26"/>
  <c r="H30" i="26"/>
  <c r="G73" i="26"/>
  <c r="G100" i="26"/>
  <c r="G163" i="26"/>
  <c r="H163" i="26"/>
  <c r="G368" i="26"/>
  <c r="G369" i="26"/>
  <c r="G31" i="26"/>
  <c r="H31" i="26"/>
  <c r="G78" i="26"/>
  <c r="H78" i="26"/>
  <c r="F88" i="26"/>
  <c r="N16" i="26" s="1"/>
  <c r="G91" i="26"/>
  <c r="H91" i="26"/>
  <c r="G107" i="26"/>
  <c r="H107" i="26"/>
  <c r="G155" i="26"/>
  <c r="H155" i="26"/>
  <c r="G161" i="26"/>
  <c r="F92" i="26"/>
  <c r="F148" i="26"/>
  <c r="N13" i="26" s="1"/>
  <c r="F105" i="26"/>
  <c r="F104" i="26" s="1"/>
  <c r="F44" i="26"/>
  <c r="N9" i="26" s="1"/>
  <c r="F151" i="26"/>
  <c r="F160" i="26"/>
  <c r="F159" i="26" s="1"/>
  <c r="F205" i="26"/>
  <c r="F382" i="26"/>
  <c r="F247" i="26"/>
  <c r="F379" i="26"/>
  <c r="F200" i="26"/>
  <c r="F260" i="26"/>
  <c r="N22" i="26" l="1"/>
  <c r="N27" i="26"/>
  <c r="N20" i="26"/>
  <c r="N33" i="26" s="1"/>
  <c r="F150" i="26"/>
  <c r="F377" i="26"/>
  <c r="G377" i="26" s="1"/>
  <c r="F43" i="26"/>
  <c r="G379" i="26"/>
  <c r="F142" i="26"/>
  <c r="G88" i="26"/>
  <c r="H88" i="26"/>
  <c r="G382" i="26"/>
  <c r="F258" i="26"/>
  <c r="F87" i="26"/>
  <c r="F355" i="26"/>
  <c r="G200" i="26"/>
  <c r="H200" i="26"/>
  <c r="F245" i="26"/>
  <c r="F203" i="26"/>
  <c r="F7" i="26"/>
  <c r="F198" i="26"/>
  <c r="D59" i="26"/>
  <c r="D44" i="26"/>
  <c r="L9" i="26" s="1"/>
  <c r="D88" i="26"/>
  <c r="E105" i="26"/>
  <c r="E92" i="26"/>
  <c r="E87" i="26" s="1"/>
  <c r="E44" i="26"/>
  <c r="E160" i="26"/>
  <c r="G160" i="26" l="1"/>
  <c r="E159" i="26"/>
  <c r="H159" i="26" s="1"/>
  <c r="E43" i="26"/>
  <c r="D43" i="26"/>
  <c r="G105" i="26"/>
  <c r="G104" i="26" s="1"/>
  <c r="E104" i="26"/>
  <c r="G59" i="26"/>
  <c r="G44" i="26"/>
  <c r="F140" i="26"/>
  <c r="H105" i="26"/>
  <c r="H104" i="26" s="1"/>
  <c r="H92" i="26"/>
  <c r="G92" i="26"/>
  <c r="H59" i="26"/>
  <c r="G206" i="26"/>
  <c r="H206" i="26"/>
  <c r="H160" i="26"/>
  <c r="H44" i="26"/>
  <c r="F41" i="26"/>
  <c r="E361" i="26"/>
  <c r="E360" i="26" s="1"/>
  <c r="E358" i="26"/>
  <c r="E261" i="26"/>
  <c r="D261" i="26"/>
  <c r="E248" i="26"/>
  <c r="M13" i="26" s="1"/>
  <c r="E198" i="26"/>
  <c r="H198" i="26" s="1"/>
  <c r="E151" i="26"/>
  <c r="E150" i="26" s="1"/>
  <c r="E148" i="26"/>
  <c r="D148" i="26"/>
  <c r="D142" i="26" s="1"/>
  <c r="E143" i="26"/>
  <c r="M9" i="26" s="1"/>
  <c r="E137" i="26"/>
  <c r="E136" i="26" s="1"/>
  <c r="G198" i="26" l="1"/>
  <c r="G159" i="26"/>
  <c r="G137" i="26"/>
  <c r="H137" i="26"/>
  <c r="E357" i="26"/>
  <c r="E355" i="26" s="1"/>
  <c r="G358" i="26"/>
  <c r="H358" i="26"/>
  <c r="G143" i="26"/>
  <c r="H143" i="26"/>
  <c r="H218" i="26"/>
  <c r="G218" i="26"/>
  <c r="H361" i="26"/>
  <c r="G361" i="26"/>
  <c r="H115" i="26"/>
  <c r="E247" i="26"/>
  <c r="G248" i="26"/>
  <c r="H248" i="26"/>
  <c r="E260" i="26"/>
  <c r="H261" i="26"/>
  <c r="G261" i="26"/>
  <c r="G148" i="26"/>
  <c r="H148" i="26"/>
  <c r="G151" i="26"/>
  <c r="H151" i="26"/>
  <c r="G123" i="26"/>
  <c r="H123" i="26"/>
  <c r="G360" i="26"/>
  <c r="H360" i="26"/>
  <c r="E142" i="26"/>
  <c r="E41" i="26"/>
  <c r="E114" i="26"/>
  <c r="E205" i="26"/>
  <c r="E245" i="26" l="1"/>
  <c r="E112" i="26"/>
  <c r="G355" i="26"/>
  <c r="H355" i="26"/>
  <c r="H142" i="26"/>
  <c r="G142" i="26"/>
  <c r="G150" i="26"/>
  <c r="H150" i="26"/>
  <c r="G136" i="26"/>
  <c r="H136" i="26"/>
  <c r="G114" i="26"/>
  <c r="H114" i="26"/>
  <c r="E258" i="26"/>
  <c r="G260" i="26"/>
  <c r="H260" i="26"/>
  <c r="H357" i="26"/>
  <c r="G357" i="26"/>
  <c r="E140" i="26"/>
  <c r="D160" i="26"/>
  <c r="D151" i="26"/>
  <c r="D150" i="26" s="1"/>
  <c r="D159" i="26" l="1"/>
  <c r="G258" i="26"/>
  <c r="H258" i="26"/>
  <c r="G140" i="26"/>
  <c r="H140" i="26"/>
  <c r="H112" i="26"/>
  <c r="G112" i="26"/>
  <c r="D140" i="26" l="1"/>
  <c r="G324" i="26" l="1"/>
  <c r="G346" i="26"/>
  <c r="F33" i="9"/>
  <c r="F93" i="9" s="1"/>
  <c r="G33" i="9"/>
  <c r="G93" i="9" s="1"/>
  <c r="H33" i="9"/>
  <c r="H93" i="9" s="1"/>
  <c r="I33" i="9"/>
  <c r="I93" i="9" s="1"/>
  <c r="K33" i="9"/>
  <c r="K93" i="9" s="1"/>
  <c r="L33" i="9"/>
  <c r="E33" i="9"/>
  <c r="E93" i="9" s="1"/>
  <c r="L19" i="9"/>
  <c r="M93" i="9" l="1"/>
  <c r="N19" i="9"/>
  <c r="N7" i="9" s="1"/>
  <c r="L7" i="9"/>
  <c r="L93" i="9" s="1"/>
  <c r="N93" i="9" s="1"/>
  <c r="F308" i="26"/>
  <c r="N8" i="26" s="1"/>
  <c r="F335" i="26"/>
  <c r="N15" i="26" s="1"/>
  <c r="N7" i="26" l="1"/>
  <c r="F306" i="26"/>
  <c r="G306" i="26" s="1"/>
  <c r="G308" i="26"/>
  <c r="G335" i="26"/>
  <c r="E180" i="24"/>
  <c r="E161" i="28" s="1"/>
  <c r="E187" i="24"/>
  <c r="E168" i="28" s="1"/>
  <c r="D73" i="24"/>
  <c r="D5" i="24" s="1"/>
  <c r="E92" i="28" l="1"/>
  <c r="E34" i="28" s="1"/>
  <c r="E73" i="24"/>
  <c r="E5" i="24" s="1"/>
  <c r="E230" i="26"/>
  <c r="D230" i="26"/>
  <c r="G34" i="28" l="1"/>
  <c r="F34" i="28"/>
  <c r="G92" i="28"/>
  <c r="F92" i="28"/>
  <c r="E229" i="26"/>
  <c r="E203" i="26" s="1"/>
  <c r="G230" i="26"/>
  <c r="H230" i="26"/>
  <c r="E32" i="26"/>
  <c r="E29" i="26" l="1"/>
  <c r="M15" i="26" s="1"/>
  <c r="G32" i="26"/>
  <c r="H32" i="26"/>
  <c r="D370" i="26"/>
  <c r="D369" i="26" s="1"/>
  <c r="D368" i="26" s="1"/>
  <c r="E339" i="26"/>
  <c r="M20" i="26" s="1"/>
  <c r="D339" i="26"/>
  <c r="E336" i="26"/>
  <c r="M16" i="26" s="1"/>
  <c r="D336" i="26"/>
  <c r="L16" i="26" s="1"/>
  <c r="D335" i="26" l="1"/>
  <c r="D306" i="26" s="1"/>
  <c r="G318" i="26"/>
  <c r="G336" i="26"/>
  <c r="G309" i="26"/>
  <c r="G339" i="26"/>
  <c r="D260" i="26"/>
  <c r="D258" i="26" s="1"/>
  <c r="D248" i="26"/>
  <c r="L13" i="26" s="1"/>
  <c r="E236" i="26"/>
  <c r="M23" i="26" s="1"/>
  <c r="M29" i="26" s="1"/>
  <c r="F236" i="26"/>
  <c r="N23" i="26" s="1"/>
  <c r="N29" i="26" s="1"/>
  <c r="N34" i="26" s="1"/>
  <c r="D236" i="26"/>
  <c r="L23" i="26" s="1"/>
  <c r="L29" i="26" s="1"/>
  <c r="D229" i="26"/>
  <c r="D191" i="26"/>
  <c r="L27" i="26" s="1"/>
  <c r="D184" i="26"/>
  <c r="D181" i="26" s="1"/>
  <c r="E39" i="26"/>
  <c r="M27" i="26" s="1"/>
  <c r="M33" i="26" s="1"/>
  <c r="M34" i="26" s="1"/>
  <c r="D32" i="26"/>
  <c r="L20" i="26" s="1"/>
  <c r="L33" i="26" l="1"/>
  <c r="L34" i="26" s="1"/>
  <c r="D188" i="26"/>
  <c r="D29" i="26"/>
  <c r="D235" i="26"/>
  <c r="D205" i="26"/>
  <c r="E36" i="26"/>
  <c r="M22" i="26" s="1"/>
  <c r="D247" i="26"/>
  <c r="G39" i="26"/>
  <c r="G236" i="26"/>
  <c r="E9" i="26"/>
  <c r="M8" i="26" s="1"/>
  <c r="D87" i="26"/>
  <c r="G145" i="14"/>
  <c r="H145" i="14" s="1"/>
  <c r="G144" i="14"/>
  <c r="H144" i="14" s="1"/>
  <c r="L15" i="26" l="1"/>
  <c r="L22" i="26"/>
  <c r="M7" i="26"/>
  <c r="L8" i="26"/>
  <c r="L7" i="26" s="1"/>
  <c r="D203" i="26"/>
  <c r="D164" i="26"/>
  <c r="G181" i="26"/>
  <c r="E7" i="26"/>
  <c r="D7" i="26"/>
  <c r="D6" i="26" s="1"/>
  <c r="D41" i="26"/>
  <c r="F138" i="14"/>
  <c r="F142" i="14" s="1"/>
  <c r="C25" i="14"/>
  <c r="F50" i="14"/>
  <c r="E50" i="14"/>
  <c r="D50" i="14"/>
  <c r="C50" i="14"/>
  <c r="H49" i="14"/>
  <c r="G49" i="14"/>
  <c r="G48" i="14"/>
  <c r="H47" i="14"/>
  <c r="G47" i="14"/>
  <c r="H46" i="14"/>
  <c r="G46" i="14"/>
  <c r="H45" i="14"/>
  <c r="G45" i="14"/>
  <c r="C130" i="14"/>
  <c r="G130" i="14"/>
  <c r="H130" i="14" s="1"/>
  <c r="C134" i="14"/>
  <c r="E134" i="14"/>
  <c r="G134" i="14" l="1"/>
  <c r="H134" i="14" s="1"/>
  <c r="H50" i="14"/>
  <c r="G50" i="14"/>
  <c r="H7" i="22" l="1"/>
  <c r="G7" i="22"/>
  <c r="E138" i="14" l="1"/>
  <c r="G142" i="14" l="1"/>
  <c r="H142" i="14" s="1"/>
  <c r="G138" i="14"/>
  <c r="H138" i="14" s="1"/>
  <c r="E164" i="26"/>
  <c r="E6" i="26" s="1"/>
  <c r="F164" i="26"/>
  <c r="F6" i="26" s="1"/>
  <c r="H9" i="26"/>
  <c r="H28" i="26"/>
  <c r="H29" i="26"/>
  <c r="H36" i="26"/>
  <c r="H43" i="26"/>
  <c r="H75" i="26"/>
  <c r="H87" i="26"/>
  <c r="H205" i="26"/>
  <c r="H229" i="26"/>
  <c r="H247" i="26"/>
  <c r="G9" i="26"/>
  <c r="G28" i="26"/>
  <c r="G29" i="26"/>
  <c r="G36" i="26"/>
  <c r="G43" i="26"/>
  <c r="G75" i="26"/>
  <c r="G87" i="26"/>
  <c r="G205" i="26"/>
  <c r="G227" i="26"/>
  <c r="G229" i="26"/>
  <c r="G235" i="26"/>
  <c r="G247" i="26"/>
  <c r="H12" i="22"/>
  <c r="G12" i="22"/>
  <c r="H9" i="22"/>
  <c r="H31" i="22"/>
  <c r="H53" i="22"/>
  <c r="H77" i="22"/>
  <c r="H98" i="22"/>
  <c r="H103" i="22"/>
  <c r="H130" i="22"/>
  <c r="G9" i="22"/>
  <c r="G31" i="22"/>
  <c r="G53" i="22"/>
  <c r="G77" i="22"/>
  <c r="G98" i="22"/>
  <c r="G128" i="22"/>
  <c r="G130" i="22"/>
  <c r="H6" i="26" l="1"/>
  <c r="G6" i="26"/>
  <c r="H41" i="26"/>
  <c r="G41" i="26"/>
  <c r="H245" i="26"/>
  <c r="G203" i="26"/>
  <c r="H203" i="26"/>
  <c r="H7" i="26"/>
  <c r="G164" i="26"/>
  <c r="G245" i="26"/>
  <c r="G7" i="26"/>
  <c r="H53" i="14" l="1"/>
  <c r="H55" i="14"/>
  <c r="H60" i="14"/>
  <c r="H66" i="14"/>
  <c r="H10" i="14"/>
  <c r="H11" i="14"/>
  <c r="H12" i="14"/>
  <c r="H14" i="14"/>
  <c r="H17" i="14"/>
  <c r="H18" i="14"/>
  <c r="H19" i="14"/>
  <c r="H21" i="14"/>
  <c r="H24" i="14"/>
  <c r="H27" i="14"/>
  <c r="H28" i="14"/>
  <c r="H30" i="14"/>
  <c r="H8" i="14" l="1"/>
  <c r="G18" i="14"/>
  <c r="G19" i="14"/>
  <c r="G20" i="14"/>
  <c r="G21" i="14"/>
  <c r="G10" i="14"/>
  <c r="G11" i="14"/>
  <c r="G12" i="14"/>
  <c r="G13" i="14"/>
  <c r="G14" i="14"/>
  <c r="G17" i="14"/>
  <c r="G23" i="14"/>
  <c r="G24" i="14"/>
  <c r="G27" i="14"/>
  <c r="G28" i="14"/>
  <c r="G30" i="14"/>
  <c r="G32" i="14"/>
  <c r="G34" i="14"/>
  <c r="G8" i="14"/>
  <c r="C119" i="14" l="1"/>
  <c r="D119" i="14"/>
  <c r="E119" i="14"/>
  <c r="F119" i="14"/>
  <c r="H119" i="14" l="1"/>
  <c r="G119" i="14"/>
  <c r="D57" i="14"/>
  <c r="D52" i="14"/>
  <c r="C52" i="14"/>
  <c r="D64" i="14"/>
  <c r="E64" i="14"/>
  <c r="F64" i="14"/>
  <c r="C64" i="14"/>
  <c r="E57" i="14"/>
  <c r="F57" i="14"/>
  <c r="C57" i="14"/>
  <c r="E52" i="14"/>
  <c r="F52" i="14"/>
  <c r="E25" i="14"/>
  <c r="F25" i="14"/>
  <c r="D22" i="14"/>
  <c r="D42" i="14" s="1"/>
  <c r="E22" i="14"/>
  <c r="E42" i="14" s="1"/>
  <c r="F22" i="14"/>
  <c r="C22" i="14"/>
  <c r="C42" i="14" s="1"/>
  <c r="G52" i="14" l="1"/>
  <c r="G64" i="14"/>
  <c r="G57" i="14"/>
  <c r="H57" i="14"/>
  <c r="H25" i="14"/>
  <c r="H22" i="14"/>
  <c r="F42" i="14"/>
  <c r="H64" i="14"/>
  <c r="H52" i="14"/>
  <c r="G22" i="14"/>
  <c r="G25" i="14"/>
  <c r="C68" i="14"/>
  <c r="E68" i="14"/>
  <c r="D68" i="14"/>
  <c r="F68" i="14"/>
  <c r="G68" i="14" s="1"/>
  <c r="D25" i="14"/>
  <c r="D16" i="14"/>
  <c r="E16" i="14"/>
  <c r="F16" i="14"/>
  <c r="C16" i="14"/>
  <c r="D9" i="14"/>
  <c r="E9" i="14"/>
  <c r="F9" i="14"/>
  <c r="F15" i="14" s="1"/>
  <c r="C9" i="14"/>
  <c r="C43" i="14" s="1"/>
  <c r="F31" i="14" l="1"/>
  <c r="F36" i="14" s="1"/>
  <c r="C15" i="14"/>
  <c r="D43" i="14"/>
  <c r="E15" i="14"/>
  <c r="E31" i="14" s="1"/>
  <c r="E43" i="14"/>
  <c r="G42" i="14"/>
  <c r="H42" i="14"/>
  <c r="H9" i="14"/>
  <c r="F43" i="14"/>
  <c r="H16" i="14"/>
  <c r="H68" i="14"/>
  <c r="G9" i="14"/>
  <c r="G16" i="14"/>
  <c r="G15" i="14" l="1"/>
  <c r="E36" i="14"/>
  <c r="H15" i="14"/>
  <c r="G43" i="14"/>
  <c r="H43" i="14"/>
  <c r="G31" i="14" l="1"/>
  <c r="F39" i="14"/>
  <c r="E39" i="14"/>
  <c r="G39" i="14" l="1"/>
  <c r="D15" i="14"/>
  <c r="D31" i="14" s="1"/>
  <c r="D36" i="14" s="1"/>
  <c r="D39" i="14" s="1"/>
  <c r="C31" i="14" l="1"/>
  <c r="C36" i="14" s="1"/>
  <c r="C39" i="14" s="1"/>
</calcChain>
</file>

<file path=xl/sharedStrings.xml><?xml version="1.0" encoding="utf-8"?>
<sst xmlns="http://schemas.openxmlformats.org/spreadsheetml/2006/main" count="1274" uniqueCount="715">
  <si>
    <t>придбання (виготовлення) основних засобів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</si>
  <si>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</si>
  <si>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</si>
  <si>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</si>
  <si>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</si>
  <si>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 xml:space="preserve">Код рядка </t>
  </si>
  <si>
    <t>Інші операційні витрати</t>
  </si>
  <si>
    <t>придбання (виготовлення) інших необоротних матеріальних активів</t>
  </si>
  <si>
    <t>№ з/п</t>
  </si>
  <si>
    <t>Усього</t>
  </si>
  <si>
    <t>модернізація, модифікація (добудова, дообладнання, реконструкція) основних засобів</t>
  </si>
  <si>
    <t>(посада)</t>
  </si>
  <si>
    <t>(підпис)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</si>
  <si>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</si>
  <si>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</si>
  <si>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</si>
  <si>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Фінансовий результат до оподаткування</t>
  </si>
  <si>
    <t xml:space="preserve">         (ініціали, прізвище)    </t>
  </si>
  <si>
    <t>(ініціали, прізвище)</t>
  </si>
  <si>
    <t>Основні фінансові показники</t>
  </si>
  <si>
    <t>Капітальні інвестиції</t>
  </si>
  <si>
    <t>Найменування об’єкта</t>
  </si>
  <si>
    <t>директор</t>
  </si>
  <si>
    <t>працівники</t>
  </si>
  <si>
    <t>Найменування показника</t>
  </si>
  <si>
    <t>адміністративно-управлінський персонал</t>
  </si>
  <si>
    <t>Валовий прибуток/збиток</t>
  </si>
  <si>
    <t>(    )</t>
  </si>
  <si>
    <t>Інші доходи, усього, у тому числі:</t>
  </si>
  <si>
    <t>Витрати з податку на прибуток</t>
  </si>
  <si>
    <t>Дохід з податку на прибуток</t>
  </si>
  <si>
    <t>8000</t>
  </si>
  <si>
    <t>8001</t>
  </si>
  <si>
    <t>8002</t>
  </si>
  <si>
    <t>8003</t>
  </si>
  <si>
    <t>8010</t>
  </si>
  <si>
    <t>Інші операційні доходи, усього, у тому числі:</t>
  </si>
  <si>
    <t>нетипові операційні доходи (розшифрувати)</t>
  </si>
  <si>
    <t>інші операційні доходи (розшифрувати)</t>
  </si>
  <si>
    <t>податок на прибуток підприємств</t>
  </si>
  <si>
    <t>інші податки та збори (розшифрувати)</t>
  </si>
  <si>
    <t>митні платежі</t>
  </si>
  <si>
    <t xml:space="preserve">єдиний внесок на загальнообов'язкове державне соціальне страхування                      </t>
  </si>
  <si>
    <t>земельний податок</t>
  </si>
  <si>
    <t>орендна плата</t>
  </si>
  <si>
    <t>Чистий фінансовий результат</t>
  </si>
  <si>
    <t xml:space="preserve">Прибуток </t>
  </si>
  <si>
    <t>Збиток</t>
  </si>
  <si>
    <t>Середньомісячні витрати на оплату праці одного працівника (грн), усього, у тому числі:</t>
  </si>
  <si>
    <t>Інші витрати (розшифрувати)</t>
  </si>
  <si>
    <t>тис. грн (без ПДВ)</t>
  </si>
  <si>
    <t>{Додаток 1 в редакції Наказу Міністерства економічного розвитку і торгівлі № 1394 від 03.11.2015}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</si>
  <si>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</si>
  <si>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</si>
  <si>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Усього нараховано виплат</t>
  </si>
  <si>
    <t>Матеріальні витрати</t>
  </si>
  <si>
    <t>(тис. грн)</t>
  </si>
  <si>
    <t>Нараховані до сплати податки та збори до місцевих бюджетів (податкові платежі)</t>
  </si>
  <si>
    <t>Нараховані до сплати інші податки, збори та платежі</t>
  </si>
  <si>
    <t xml:space="preserve"> (посада)</t>
  </si>
  <si>
    <t>військовий збір</t>
  </si>
  <si>
    <t>капітальне будівництво (розшифрувати)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</si>
  <si>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</si>
  <si>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</si>
  <si>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тис. грн</t>
  </si>
  <si>
    <t xml:space="preserve">                   (підпис)</t>
  </si>
  <si>
    <t>Собівартість реалізованої продукції (товарів, робіт, послуг), усього, у тому числі:</t>
  </si>
  <si>
    <t>Матеріальні витрати (розшифрувати)</t>
  </si>
  <si>
    <t>Інші адміністративні витрати (розшифрувати)</t>
  </si>
  <si>
    <t>Інші операційні витрати (розшифрувати)</t>
  </si>
  <si>
    <t>придбання (виготовлення) інших необоротних матеріальних активів (розшифрувати)</t>
  </si>
  <si>
    <t>8030</t>
  </si>
  <si>
    <t>Чистий дохід від реалізації продукції (товарів, робіт, послуг), усього, у тому числі:</t>
  </si>
  <si>
    <t>ДОХОДИ</t>
  </si>
  <si>
    <t>№Зз/п</t>
  </si>
  <si>
    <t>Інші фінансові доходи, усього, у тому числі:</t>
  </si>
  <si>
    <t>ВИТРАТИ</t>
  </si>
  <si>
    <t>Собівартість реалізованої продукції (товарів, робіт, послуг),</t>
  </si>
  <si>
    <t>Матеріальні витрати, у сього, у т.ч.:</t>
  </si>
  <si>
    <t>Інші витрати, усього, у т.ч:</t>
  </si>
  <si>
    <t>Адміністративні витрати:</t>
  </si>
  <si>
    <t>Інші адміністративні витрати, усього, у т.ч.:</t>
  </si>
  <si>
    <t>ВСЬОГО ВИТРАТ:</t>
  </si>
  <si>
    <t>1.</t>
  </si>
  <si>
    <t>у т.ч. використано на:</t>
  </si>
  <si>
    <t>1.1</t>
  </si>
  <si>
    <t>1.2</t>
  </si>
  <si>
    <t>Адміністративні витрати, усього, у тому числі:</t>
  </si>
  <si>
    <t>Собівартість реалізованої продукції (товарів, робіт, послуг), усього, у т.ч.:</t>
  </si>
  <si>
    <t>1.3</t>
  </si>
  <si>
    <t>Адміністративні витрати, усього, у т.ч.:</t>
  </si>
  <si>
    <t>Інші операційні витрати, усього, у т.ч.:</t>
  </si>
  <si>
    <t>Придбання (виготовлення) основних засобів, усього, у т.ч.:</t>
  </si>
  <si>
    <t>Придбання (виготовлення) інших необоротних матеріальних активів, усього, у т.ч.:</t>
  </si>
  <si>
    <t>Інші витрати, усього, у т.ч.:</t>
  </si>
  <si>
    <t>Розділ І. Формування фінансових результатів</t>
  </si>
  <si>
    <t>Розділ IІ. Розрахунки з бюджетом</t>
  </si>
  <si>
    <t>Розділ IV. Капітальні інвестиції</t>
  </si>
  <si>
    <t>Розділ VI. Дані про персонал та витрати на оплату праці</t>
  </si>
  <si>
    <t>Розшифровка №1 до розділу І "Формування фінансових результатів"</t>
  </si>
  <si>
    <t>Розшифровка до розділу  IV. "Капітальні інвестиції"</t>
  </si>
  <si>
    <t>3.</t>
  </si>
  <si>
    <t>Кошти медичної субвенції з державного бюджету:</t>
  </si>
  <si>
    <t>4.</t>
  </si>
  <si>
    <t>5.</t>
  </si>
  <si>
    <t>Матеріальні витрати, усього, у т.ч.:</t>
  </si>
  <si>
    <t>план</t>
  </si>
  <si>
    <t>факт</t>
  </si>
  <si>
    <t>відхилення, +/-</t>
  </si>
  <si>
    <t>виконання, 
%</t>
  </si>
  <si>
    <t>відхилення, +,-</t>
  </si>
  <si>
    <t>відхилення, %</t>
  </si>
  <si>
    <t>відхилення, 
%</t>
  </si>
  <si>
    <t>Відхилення, +,-</t>
  </si>
  <si>
    <t>Відхилення, %</t>
  </si>
  <si>
    <t>Усього доходів</t>
  </si>
  <si>
    <t>Усього видатків</t>
  </si>
  <si>
    <t>відрахування частини чистого прибутку комунальними підприємствами, що є власністю Вінницької міської об'єднаної територіальної громади до бюджету Вінницької міської ОТГ</t>
  </si>
  <si>
    <t>Розшифровка №2 до розділу І "Формування фінансових результатів за джерелами доходів та використання коштів"</t>
  </si>
  <si>
    <t>Кошти державного бюджету від Національної служби здоров'я України</t>
  </si>
  <si>
    <t>Інші операційні витрати:</t>
  </si>
  <si>
    <t>Факт наростаючим підсумком з початку року</t>
  </si>
  <si>
    <r>
      <t xml:space="preserve">Чистий дохід від реалізації продукції (товарів, робіт, послуг) </t>
    </r>
    <r>
      <rPr>
        <sz val="16"/>
        <color theme="1"/>
        <rFont val="Times New Roman"/>
        <family val="1"/>
        <charset val="204"/>
      </rPr>
      <t>(розшифрувати)</t>
    </r>
  </si>
  <si>
    <r>
      <t>Інші фінансові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</si>
  <si>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rPr>
        <b/>
        <sz val="16"/>
        <color theme="1"/>
        <rFont val="Times New Roman"/>
        <family val="1"/>
        <charset val="204"/>
      </rPr>
      <t>Фінансові витрати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</si>
  <si>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>Інші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</si>
  <si>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 xml:space="preserve">Інші витрати </t>
    </r>
    <r>
      <rPr>
        <sz val="16"/>
        <color theme="1"/>
        <rFont val="Times New Roman"/>
        <family val="1"/>
        <charset val="204"/>
      </rPr>
      <t>(розшифрувати)</t>
    </r>
  </si>
  <si>
    <r>
      <t>придбання (виготовлення) основних засобів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</si>
  <si>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>придбання (створення) нематеріальних активів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</si>
  <si>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6"/>
        <color theme="1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color theme="1"/>
        <rFont val="Times New Roman"/>
        <family val="1"/>
        <charset val="204"/>
      </rPr>
      <t>, у тому числі:</t>
    </r>
  </si>
  <si>
    <t>Елементи операційних витрат:</t>
  </si>
  <si>
    <t>Залучення кредитних коштів</t>
  </si>
  <si>
    <t>Усього:</t>
  </si>
  <si>
    <t xml:space="preserve">Нараховані до сплати податки та збори до Державного бюджету України (податкові платежі) </t>
  </si>
  <si>
    <t>медикаменти та перев'язувальні матеріали</t>
  </si>
  <si>
    <t>харчування</t>
  </si>
  <si>
    <t xml:space="preserve">наркопрофогляд, медогляд, бакобстеження </t>
  </si>
  <si>
    <t>ремонт та обслуговування ліфтів</t>
  </si>
  <si>
    <t>ремонт та повірка медобладнання, побутової техніки, вимірювання опору заземлення, утилізація, вимірювання дози зовнішнього опромінення</t>
  </si>
  <si>
    <t>телекомунікаційні послуги</t>
  </si>
  <si>
    <t>паливно-мастильні матеріали, запчастини (авто)</t>
  </si>
  <si>
    <t>Інші  адміністративні витрати, усього, у тому числі:</t>
  </si>
  <si>
    <t>витрати на сировину для молочної кухні</t>
  </si>
  <si>
    <t>пільгова пенсія</t>
  </si>
  <si>
    <t>За рахунок коштів від надання послуг з  медичної діяльності</t>
  </si>
  <si>
    <t>господарські товари, техн. засоби, електрозберігаючі лампочки,  будівельні матеріали, засоби для прибирання та гігієни</t>
  </si>
  <si>
    <t>канцтовари, періодичні видання, бланки, журнали</t>
  </si>
  <si>
    <t>страхування</t>
  </si>
  <si>
    <t>ремонт приміщень</t>
  </si>
  <si>
    <t>канцтовари, періодичні видання, бланки та журнали</t>
  </si>
  <si>
    <t>лікарняні листи, марки, конверти</t>
  </si>
  <si>
    <t xml:space="preserve">медикаменти та перев'язувальні матеріали </t>
  </si>
  <si>
    <t>Інші витрати, у сього, у т.ч.:</t>
  </si>
  <si>
    <t>супровід програмного забезпечення, медіа-супровід, обслуговування сайту</t>
  </si>
  <si>
    <t>За рахунок коштів ВМОТГ</t>
  </si>
  <si>
    <t>витратні матеріали для хворих на цукровий діабет</t>
  </si>
  <si>
    <t>витратні матеріали для хворих, що знаходяться на лікуванні у відділенні анестезіології</t>
  </si>
  <si>
    <t>медикаменти 2019-n CoV</t>
  </si>
  <si>
    <t>програма "Стоп грип"</t>
  </si>
  <si>
    <t>хімреактиви, реагенти тощо</t>
  </si>
  <si>
    <t xml:space="preserve">вивіз  сміття </t>
  </si>
  <si>
    <t>інформатизація</t>
  </si>
  <si>
    <t xml:space="preserve">оплата водопостачання та водовідведення </t>
  </si>
  <si>
    <t>оплата електроенергії</t>
  </si>
  <si>
    <t>оплата теплопостачання</t>
  </si>
  <si>
    <t>транспортування працівників</t>
  </si>
  <si>
    <t>псування матеріальних цінностей</t>
  </si>
  <si>
    <t>канцтовари, періодичні видання</t>
  </si>
  <si>
    <t>основні засоби та інші необоротні матеріальні активи, запчастини до медичного обладнання, основних засобів та інших необоротних матеріальни активів</t>
  </si>
  <si>
    <t>оцінка приміщення</t>
  </si>
  <si>
    <t>послуги з навчання</t>
  </si>
  <si>
    <t>податок на землю</t>
  </si>
  <si>
    <t>Кошти отримані від реалізації в установленому порядку майна (крім нерухомого майна)</t>
  </si>
  <si>
    <t>7.</t>
  </si>
  <si>
    <t>За рахунок коштів отриманих від реалізації продукції молочної кухні</t>
  </si>
  <si>
    <t>публікація в газеті</t>
  </si>
  <si>
    <t>ремонт прибудинкової території</t>
  </si>
  <si>
    <t>вивіз сміття</t>
  </si>
  <si>
    <t>оплата природного газу</t>
  </si>
  <si>
    <t>пеня</t>
  </si>
  <si>
    <t>8.</t>
  </si>
  <si>
    <t>За рахунок коштів орендарів (енергоносії)</t>
  </si>
  <si>
    <t>9.</t>
  </si>
  <si>
    <t>10.</t>
  </si>
  <si>
    <t xml:space="preserve"> інші необоротні матеріальні активи та запчастини до медичного обладнання, основних засобів та інших необоротних матеріальни активів</t>
  </si>
  <si>
    <t>медикаменти (страхова)</t>
  </si>
  <si>
    <t>господарські товари, технічні засоби, енергозберігаючі лампочки,  будівельні матеріали, засоби для прибирання та гігієни</t>
  </si>
  <si>
    <t>виготовлення технічної документації</t>
  </si>
  <si>
    <t>курсова різниця</t>
  </si>
  <si>
    <t>кошти від надання послуг з  медичної діяльності</t>
  </si>
  <si>
    <t>кошти медичної субвенції з державного бюджету</t>
  </si>
  <si>
    <t>кошти отримані від реалізації в установленому порядку майна ( крім нерухомого майна)</t>
  </si>
  <si>
    <t>кошти отриманих від реалізації продукції молочної кухні</t>
  </si>
  <si>
    <r>
      <t xml:space="preserve">кошти орендарів </t>
    </r>
    <r>
      <rPr>
        <i/>
        <sz val="14"/>
        <rFont val="Times New Roman"/>
        <family val="1"/>
        <charset val="204"/>
      </rPr>
      <t>(енергоносії)</t>
    </r>
  </si>
  <si>
    <t>надходження від відсотків за залишками коштів на поточних рахунках</t>
  </si>
  <si>
    <t>дохід від курсової різниці</t>
  </si>
  <si>
    <t>нарахування амортизації на безоплатно отримані активи</t>
  </si>
  <si>
    <t>гістологічні дослідження</t>
  </si>
  <si>
    <t xml:space="preserve">скринінгові дослідження новонароджених </t>
  </si>
  <si>
    <t>дослідження на ВІЛ</t>
  </si>
  <si>
    <t>бактеріологічні дослідження</t>
  </si>
  <si>
    <t>ремонт та технічне обслуговування медичного обладнання</t>
  </si>
  <si>
    <t>повірка медичного обладнання</t>
  </si>
  <si>
    <t>супровід програмного забезпечення, медіа-супровід, обслуговування сайту, кваліфікований електронний підпис</t>
  </si>
  <si>
    <t>1.1.1</t>
  </si>
  <si>
    <t>1.1.2</t>
  </si>
  <si>
    <t>1.1.3.</t>
  </si>
  <si>
    <t>1.1.4.</t>
  </si>
  <si>
    <t>1.3.2.</t>
  </si>
  <si>
    <t>світильник операційний L735-ІІ 5-ти рефлекторний</t>
  </si>
  <si>
    <t>набір шаф 1 комплект</t>
  </si>
  <si>
    <t>шафа-купе з тумбою</t>
  </si>
  <si>
    <t>комплект стелажів</t>
  </si>
  <si>
    <t>фотокалітичний знезаражувач і очисник повітря (7 шт)</t>
  </si>
  <si>
    <t>установка (рамка) дезінфікуюча (4 шт)</t>
  </si>
  <si>
    <t>автоматичний біохімічний аналізатор ACCENT</t>
  </si>
  <si>
    <t>автоматичний гематологічний аналізатор Abacus</t>
  </si>
  <si>
    <t xml:space="preserve">дефібрилятор-монітор BeneHeart </t>
  </si>
  <si>
    <t>насос шприцевий BeneFusion (8 шт)</t>
  </si>
  <si>
    <t>напівавтоматичний 2-канальний коагулометр</t>
  </si>
  <si>
    <t>опромінювач з пеленальним столом типу АИСТ-3</t>
  </si>
  <si>
    <t>реаніматор для новонароджених Т-типу NeopuffTM (2 шт)</t>
  </si>
  <si>
    <t>ультразвукова система Affiniti</t>
  </si>
  <si>
    <t>холодильна шафа-вітрина "ICE STREAM" (2 шт)</t>
  </si>
  <si>
    <t>вітрина холодильна "FROST STREAM"</t>
  </si>
  <si>
    <t>ІФА аналізатор в комплекті</t>
  </si>
  <si>
    <t>система Mistral</t>
  </si>
  <si>
    <t>повітряний компресор (2 шт)</t>
  </si>
  <si>
    <t>система автоматична інфузійна Infusomat Compact Plus насос волюметричний інфузійний</t>
  </si>
  <si>
    <t>аналізатор газів крові</t>
  </si>
  <si>
    <t>пральна машина Indesit</t>
  </si>
  <si>
    <t>центрифуга лабораторна</t>
  </si>
  <si>
    <t>шафа шестисекційна</t>
  </si>
  <si>
    <t>шафа з вітриною</t>
  </si>
  <si>
    <t>придбання персональних комп'ютерів та оргтехніки(у 2019 році- комп'ютерів 27шт, принтерів18 шт.; у 2020 році- 22 комп'ютера, 25 принтерів)</t>
  </si>
  <si>
    <t>стіл в вестибюль</t>
  </si>
  <si>
    <t>стіл кухонний</t>
  </si>
  <si>
    <t>стіл комп'ютерний</t>
  </si>
  <si>
    <t>жалюзі вертикальні (5 шт)</t>
  </si>
  <si>
    <t>ролети тканеві (12 шт)</t>
  </si>
  <si>
    <t>візок для перевезення їжі</t>
  </si>
  <si>
    <t>стілець (25 шт)</t>
  </si>
  <si>
    <t>крісло</t>
  </si>
  <si>
    <t>стіл з полицями та надбудовою (7 шт)</t>
  </si>
  <si>
    <t>стіл з бортом пристінний (5 шт)</t>
  </si>
  <si>
    <t>стіл</t>
  </si>
  <si>
    <t>посібник "Публічні закупівлі, практичні рішення та алгоритм проведення торгів"</t>
  </si>
  <si>
    <t>інгалятор компресорний ONRON</t>
  </si>
  <si>
    <t>лічильник ЛС механічний (2 шт)</t>
  </si>
  <si>
    <t>матрац для ліжечка</t>
  </si>
  <si>
    <t>електрочайник</t>
  </si>
  <si>
    <r>
      <t>ролети тканеві (33,78 м</t>
    </r>
    <r>
      <rPr>
        <vertAlign val="superscript"/>
        <sz val="14"/>
        <rFont val="Times New Roman"/>
        <family val="1"/>
        <charset val="204"/>
      </rPr>
      <t>2</t>
    </r>
    <r>
      <rPr>
        <sz val="14"/>
        <rFont val="Times New Roman"/>
        <family val="1"/>
        <charset val="204"/>
      </rPr>
      <t>)</t>
    </r>
  </si>
  <si>
    <t>принтери (2 шт)</t>
  </si>
  <si>
    <t>мобільні телефони (3 шт)</t>
  </si>
  <si>
    <t>халати (20 шт)</t>
  </si>
  <si>
    <t>комплекти постільної білизни (133 шт)</t>
  </si>
  <si>
    <t>стіл кутовий лівий (61 шт)</t>
  </si>
  <si>
    <t>стіл кутовий правий (84 шт)</t>
  </si>
  <si>
    <t>тумба (150 шт)</t>
  </si>
  <si>
    <t>протипролежневий матрац</t>
  </si>
  <si>
    <t>ліжка новонароджених (4 шт)</t>
  </si>
  <si>
    <t>матраци (5 шт)</t>
  </si>
  <si>
    <t>утилізатор голок</t>
  </si>
  <si>
    <t>ролап конструкція</t>
  </si>
  <si>
    <t>варочна поверхня</t>
  </si>
  <si>
    <t>набір навісних шаф</t>
  </si>
  <si>
    <t>столик універсальний (3 шт)</t>
  </si>
  <si>
    <t>столик</t>
  </si>
  <si>
    <t>реконструкція території насосної з улаштуванням приміщення для медичних відходів та тимчасової стоянки для автомобілів КНП "ВМКЛ "ЦМтаД" по вул.Маяковського,138 в м.Вінниці</t>
  </si>
  <si>
    <t>насос шприцевий BeneFusion (5 шт)</t>
  </si>
  <si>
    <t xml:space="preserve">вертикальний підйомник для інвалідів та інших мало мобільних груп населення (2 шт)                                                 </t>
  </si>
  <si>
    <t xml:space="preserve">шафа з вітриною 2,3*2,4*0,5          </t>
  </si>
  <si>
    <t xml:space="preserve">шафа універсальна 2-х секційна 2,0*1,0*0,45    </t>
  </si>
  <si>
    <t xml:space="preserve">шафа 2,3*1,05*0,6   </t>
  </si>
  <si>
    <t>шафа 2,3*1,2*0,6</t>
  </si>
  <si>
    <t xml:space="preserve">кольпоскоп МК-300 з відеосистемою       </t>
  </si>
  <si>
    <t xml:space="preserve">джерело безперебійного живлення Powercom Macan MAC OnLine                                </t>
  </si>
  <si>
    <t>шафа</t>
  </si>
  <si>
    <t xml:space="preserve">кухня ДСП з стіновою панеллю  </t>
  </si>
  <si>
    <t>фонтан</t>
  </si>
  <si>
    <t xml:space="preserve">кухонний гарнітур (стільниці з тумбами та мийками) </t>
  </si>
  <si>
    <t xml:space="preserve">апарат електрохірургічний "Фотек"     </t>
  </si>
  <si>
    <t xml:space="preserve">Принтер Canon I-SENSYS MF112  </t>
  </si>
  <si>
    <t>Світильник операційний ЛЕД (2 шт)</t>
  </si>
  <si>
    <t xml:space="preserve">Фетальний монітор L8-P6-PRO        </t>
  </si>
  <si>
    <t xml:space="preserve">дозатор механічний одноканальний Proline 20-200 мкл.       </t>
  </si>
  <si>
    <t>вентилятор побутовий 100С1, 94м3/год Домовент (2шт)</t>
  </si>
  <si>
    <t xml:space="preserve">комплект: тумба з умивальником, дзеркало  </t>
  </si>
  <si>
    <t xml:space="preserve">гігрометр ВІТ-Ш-2(+16+40С)ТУ З України 14307481.001-92 УКТЗЕД 9025808010 (5 шт)                                                                                                                                </t>
  </si>
  <si>
    <t xml:space="preserve">стіл зі стільниці                                                                                                                                                                                       </t>
  </si>
  <si>
    <t>ліжко 0,9*2,0 з каркасом металевий з ніжками (6 шт)</t>
  </si>
  <si>
    <t>матрац пружиний 0,9*2,0   (6 шт)</t>
  </si>
  <si>
    <t xml:space="preserve">мийка 0,57*0,445   </t>
  </si>
  <si>
    <t xml:space="preserve">стелаж трирівневий 1500*1000 з н/ж сталі       </t>
  </si>
  <si>
    <t xml:space="preserve">блендер BPAUN MQ5237BK  </t>
  </si>
  <si>
    <t xml:space="preserve">електрочайник Grunhelm                               </t>
  </si>
  <si>
    <t xml:space="preserve">пульт електронний для керування блоком тенів 7500Вт 3*400 в  </t>
  </si>
  <si>
    <t xml:space="preserve">тканеві ролети беста-міні (10 шт)    </t>
  </si>
  <si>
    <t xml:space="preserve">вертикальні жалюзі                                                                                                                                                                                      </t>
  </si>
  <si>
    <t>інформаційний стенд (6 шт)</t>
  </si>
  <si>
    <t xml:space="preserve">принтер А4 Epson 1-Series </t>
  </si>
  <si>
    <t xml:space="preserve">детектор індивідуального моніторингу ДТГ-4 (ДТУ)  </t>
  </si>
  <si>
    <t xml:space="preserve">вогнегасник ВП-5  (4 шт)        </t>
  </si>
  <si>
    <t xml:space="preserve">пральна машина Indesit IWUC 40851    </t>
  </si>
  <si>
    <t xml:space="preserve">бактерицидна лампа Bactosfera OBB 15                  </t>
  </si>
  <si>
    <t xml:space="preserve">компресорний небулайзер     </t>
  </si>
  <si>
    <t>тонометр педіатричний з трьома манжетами Little Doctor LD 80</t>
  </si>
  <si>
    <t xml:space="preserve">ваги електронні для новонароджених Momert 6475        </t>
  </si>
  <si>
    <t>відбійник</t>
  </si>
  <si>
    <t>пральна машина Indesit E2SC 2160 W UA</t>
  </si>
  <si>
    <t xml:space="preserve">ліжко лікарняне б/в           </t>
  </si>
  <si>
    <t xml:space="preserve">матрац Ех-2 0,8*1,9                           </t>
  </si>
  <si>
    <t xml:space="preserve">електрочайник Philips 1,5л 240 Вт </t>
  </si>
  <si>
    <t xml:space="preserve">електрочайник Holmer HKS (Скло) </t>
  </si>
  <si>
    <t xml:space="preserve">холодильник Delfa (white 89*49.5*46.5 см) (3 шт)   </t>
  </si>
  <si>
    <t xml:space="preserve">тумба приліжкова 0,6*0,5*0,6    (4шт)                               </t>
  </si>
  <si>
    <t>тумба приліжкова 0,67/0,6*0,5 (2 шт)</t>
  </si>
  <si>
    <t>балон для аргону   (3 шт)</t>
  </si>
  <si>
    <t>стілець Аскона (чорний)  (20 шт)</t>
  </si>
  <si>
    <t>Бюджетне фінансування (кошти бюджету ВМТГ/кошти бюджету ВМОТГ)</t>
  </si>
  <si>
    <t>Власні кошти (платні послуги)</t>
  </si>
  <si>
    <t>Інші джерела (благодійні кошти, НСЗУ)</t>
  </si>
  <si>
    <t>ремонт та технічне обслуговування немедичного обладнання</t>
  </si>
  <si>
    <t xml:space="preserve">ремонт та технічне обслуговування авто </t>
  </si>
  <si>
    <t>ремонт та технічне обслуговування ПК та оргтехніки</t>
  </si>
  <si>
    <t xml:space="preserve">публікація в газеті </t>
  </si>
  <si>
    <r>
      <t>Кошти державного бюджету (</t>
    </r>
    <r>
      <rPr>
        <b/>
        <i/>
        <sz val="14"/>
        <rFont val="Times New Roman"/>
        <family val="1"/>
        <charset val="204"/>
      </rPr>
      <t>відшкодування лікарям-інтернам за проходження інтернатури)</t>
    </r>
  </si>
  <si>
    <t>Благодійна допомога в натуральній формі</t>
  </si>
  <si>
    <t>паливно-мастильні матеріали</t>
  </si>
  <si>
    <t>наркопрофогляд</t>
  </si>
  <si>
    <t xml:space="preserve">лікарняні листи </t>
  </si>
  <si>
    <t xml:space="preserve">Благодійна допомога в грошовому еквіваленті </t>
  </si>
  <si>
    <t>Нарахування амортизації на безоплатно отримані активи, усього, у т.ч.:</t>
  </si>
  <si>
    <t>12.</t>
  </si>
  <si>
    <t>13.</t>
  </si>
  <si>
    <t>16.</t>
  </si>
  <si>
    <t>медичне обладнання</t>
  </si>
  <si>
    <t>немедичне обладнання</t>
  </si>
  <si>
    <t>меблі</t>
  </si>
  <si>
    <t>дозометричний контроль</t>
  </si>
  <si>
    <t xml:space="preserve">страхування майна </t>
  </si>
  <si>
    <t>поповнення смарт-карток для проїзду</t>
  </si>
  <si>
    <t>оплата водопостачання та водовідведення</t>
  </si>
  <si>
    <t>експертний висновок (доступність будівель)</t>
  </si>
  <si>
    <t>наркопрофогляд, медогляд</t>
  </si>
  <si>
    <t xml:space="preserve">розрахунок норми витрат палива </t>
  </si>
  <si>
    <t xml:space="preserve">телекомунікаційні послуги </t>
  </si>
  <si>
    <t xml:space="preserve">страхування цивільно-правової відповідальності власників транспортних засобів </t>
  </si>
  <si>
    <t>відключення від системи газопостачання</t>
  </si>
  <si>
    <t xml:space="preserve">канцтовари, періодичні видання, бланки, журнали </t>
  </si>
  <si>
    <t>оцінка приміщення/обладнання</t>
  </si>
  <si>
    <t>інформаційно-консультаційні послуги</t>
  </si>
  <si>
    <t>фотозйомка для Google Map</t>
  </si>
  <si>
    <t>Надходження від відсотків за залишками коштів на депозитних рахунках</t>
  </si>
  <si>
    <t>банківські послуги</t>
  </si>
  <si>
    <t xml:space="preserve">ремонт та технічне обслуговування ПК та оргтехніки </t>
  </si>
  <si>
    <t>охоронна сигналізація</t>
  </si>
  <si>
    <t>проведення наглядового аудиту сертифікації управління якістю</t>
  </si>
  <si>
    <t xml:space="preserve">податок на додану вартість </t>
  </si>
  <si>
    <t>експертний висновок</t>
  </si>
  <si>
    <t xml:space="preserve">послуги з захоронення мертвонародженого плоду </t>
  </si>
  <si>
    <t xml:space="preserve">пільгова пенсія </t>
  </si>
  <si>
    <t>ліцензія</t>
  </si>
  <si>
    <t>1.1.5.</t>
  </si>
  <si>
    <t>1.2.2</t>
  </si>
  <si>
    <t>1.3.3.</t>
  </si>
  <si>
    <t>запчастини до медичного обладнання, основних засобів, інших необоротнихї матеріальних активів та на інші необоротні матеріальні активи</t>
  </si>
  <si>
    <t xml:space="preserve">технінче обслуговування та ремонт ліфтів </t>
  </si>
  <si>
    <t xml:space="preserve">оцінка майна </t>
  </si>
  <si>
    <t>науково-технічні роботи</t>
  </si>
  <si>
    <t>технічне обслуговування та ремонт ліфтів</t>
  </si>
  <si>
    <t>Кошти від надання послуг з немедичної діяльності (платні палати, стажування інтернів, відшкодування від страхової компанії)</t>
  </si>
  <si>
    <t>страхування майна</t>
  </si>
  <si>
    <t>витратні матеріали для хворих, що знаходяться на лікуванні у відділенні анестезіології 2019-n CoV</t>
  </si>
  <si>
    <t>програма "СТОП ГРИП"</t>
  </si>
  <si>
    <t xml:space="preserve">витрати на сировину для молочної кухні </t>
  </si>
  <si>
    <t>скринінгові дослідження новонароджених</t>
  </si>
  <si>
    <t>дослідження ВІЛ</t>
  </si>
  <si>
    <t xml:space="preserve">ремонт та технічне обслуговування медичного обладнання </t>
  </si>
  <si>
    <t>ремонт та технічне обслуговування авто</t>
  </si>
  <si>
    <t>розрахунок норми витрат палива</t>
  </si>
  <si>
    <t>супровід програмного забезпечення, медіа-супровід, обслуговування сайту, КЕП</t>
  </si>
  <si>
    <t>страхування цивільно-правової відповідальності власників транспортних засобів</t>
  </si>
  <si>
    <t>оцінка майна</t>
  </si>
  <si>
    <t>утилізація,дезинфекція</t>
  </si>
  <si>
    <t>поповнення смарт-карток</t>
  </si>
  <si>
    <t xml:space="preserve">ремонт та технічне обслуговування немедичного обладнання </t>
  </si>
  <si>
    <t>ремонт приміщень та інженерних мереж</t>
  </si>
  <si>
    <t>інформаційні-консультаційні послуги</t>
  </si>
  <si>
    <t>ПДВ</t>
  </si>
  <si>
    <t xml:space="preserve">експертний висновок </t>
  </si>
  <si>
    <t>послуги з захоронення мертвонародженого плоду</t>
  </si>
  <si>
    <t xml:space="preserve">послуги з навчання </t>
  </si>
  <si>
    <t>проіздні квитки, поповнення смарт-карток</t>
  </si>
  <si>
    <t xml:space="preserve">витрати від курсових різниць </t>
  </si>
  <si>
    <t>кошти від надання послуг з немедичної діяльності (платні палати, стажування інтернів, відшкодування від страхової компанії)</t>
  </si>
  <si>
    <t>кошти державного бюджету (відшкодування лікарям-інтернам за проходження інтернатури)</t>
  </si>
  <si>
    <t xml:space="preserve">ремонт приміщень </t>
  </si>
  <si>
    <t>медогляд, наркопрофогляд</t>
  </si>
  <si>
    <t xml:space="preserve">паливно-мастильні матеріали </t>
  </si>
  <si>
    <t>дохід від оприбуткування вторсировини (металобрухт)</t>
  </si>
  <si>
    <t>ремонт та технічне обслуговування ліфтів</t>
  </si>
  <si>
    <t>металобрухт</t>
  </si>
  <si>
    <t>Дохід від оприбуткування вторсировини (металобрухт)</t>
  </si>
  <si>
    <t>Кошти отримані від реалізації в установленому порядку майна (крім нерухомого майна) за рахунок коштів минулих періодів</t>
  </si>
  <si>
    <t>11.</t>
  </si>
  <si>
    <t>19.</t>
  </si>
  <si>
    <t>запчастини до медичного обладнання</t>
  </si>
  <si>
    <t>лікарняні листки, марки, конверти</t>
  </si>
  <si>
    <t>1.2.3</t>
  </si>
  <si>
    <t>1.2.5</t>
  </si>
  <si>
    <t>1.3.5</t>
  </si>
  <si>
    <t>14.</t>
  </si>
  <si>
    <t>15.</t>
  </si>
  <si>
    <t>19.1</t>
  </si>
  <si>
    <t>Фонд оплати праці</t>
  </si>
  <si>
    <t xml:space="preserve">телефоний апарат Astro A169 (14 шт)         </t>
  </si>
  <si>
    <t xml:space="preserve">протипролежневий масажний матрац (2 шт)   </t>
  </si>
  <si>
    <t xml:space="preserve">принтер Canon i-SENSYS MF3010+usb   </t>
  </si>
  <si>
    <t xml:space="preserve">холодильник Elenberg MR (2 шт)  </t>
  </si>
  <si>
    <t xml:space="preserve">смітник декоративний з мармуровою крихтою 400х400х630 в комплекті з відром (6 шт)                                                                                                                              </t>
  </si>
  <si>
    <t xml:space="preserve">Розшифровка до розділу  IV. "Капітальні інвестиції за джерелами надходження"  </t>
  </si>
  <si>
    <t xml:space="preserve">принтер Canon I-SENSYS MF112  </t>
  </si>
  <si>
    <t>світильник операційний ЛЕД (2 шт)</t>
  </si>
  <si>
    <t xml:space="preserve">фетальний монітор L8-P6-PRO        </t>
  </si>
  <si>
    <t>кошти державного бюджету від Національної служби здоров'я України</t>
  </si>
  <si>
    <t xml:space="preserve">благодійна допомога в грошовому еквіваленті </t>
  </si>
  <si>
    <t>благодійна допомога в натуральній формі</t>
  </si>
  <si>
    <t>За рахунок коштів ВМОТГ за рахунок залишку запасів минулих періодів</t>
  </si>
  <si>
    <t>надходження від відсотків за залишками коштів на депозитних рахунках</t>
  </si>
  <si>
    <t>3.2.1</t>
  </si>
  <si>
    <t>20.</t>
  </si>
  <si>
    <t>Директор КНП "ВМКЛ"ЦМтаД"</t>
  </si>
  <si>
    <r>
      <t>Директор КНП"ВМКЛ"ЦМтаД"</t>
    </r>
    <r>
      <rPr>
        <u/>
        <sz val="16"/>
        <color theme="1"/>
        <rFont val="Times New Roman"/>
        <family val="1"/>
        <charset val="204"/>
      </rPr>
      <t xml:space="preserve"> </t>
    </r>
  </si>
  <si>
    <t>Факт                   минулого   2020 року</t>
  </si>
  <si>
    <t>Фінансовий план 
за 2021 рік</t>
  </si>
  <si>
    <t xml:space="preserve">облаштування кисневих точок </t>
  </si>
  <si>
    <t>Звітний за 2021 рік</t>
  </si>
  <si>
    <t xml:space="preserve">ЗВІТ
 про виконання показників фінансового плану КНП "Вінницька міська клінічна лікарня "Центр матері та дитини"
за 2021 рік
   </t>
  </si>
  <si>
    <t xml:space="preserve">проізні </t>
  </si>
  <si>
    <t>3.1.2.</t>
  </si>
  <si>
    <t>консультаційно-інформаційні послуги</t>
  </si>
  <si>
    <t xml:space="preserve">пеня </t>
  </si>
  <si>
    <t xml:space="preserve">дослідження води </t>
  </si>
  <si>
    <t>припливно-витяжна система вентиляції повітря (11 шт)</t>
  </si>
  <si>
    <t>вантажний автомобіль CKC PGP-05 PK (рефрижераторний)</t>
  </si>
  <si>
    <t>кухня</t>
  </si>
  <si>
    <t>аудіометр Sentiero Screening</t>
  </si>
  <si>
    <t>столик анастезіолога, стільниця з нержавіючої сталі СА-3</t>
  </si>
  <si>
    <t>шафа медична для ендоскопів ШМБ 15-Е</t>
  </si>
  <si>
    <t>шафа матеріальна (2 шт)</t>
  </si>
  <si>
    <t>світильник оглядовий 12 світлодіодів сенсорний VioLight-2</t>
  </si>
  <si>
    <t>монітор пацієнта IMEG10 Mindray</t>
  </si>
  <si>
    <t>апарат для штучної вентиляції легень SLE1000 СРАР (Англія)</t>
  </si>
  <si>
    <t>відсмоктувач медичний "БІОМЕД" електричний, модель 7А-23В (20л) (5 шт)</t>
  </si>
  <si>
    <t xml:space="preserve">системний блок </t>
  </si>
  <si>
    <t>термостат сухоповітряний ТС -80</t>
  </si>
  <si>
    <t>аквадистилятор електричний ДЄ-25М</t>
  </si>
  <si>
    <t>плита електрична секційна ПЕ-6</t>
  </si>
  <si>
    <t>мийка виробнича 1700*840*850глиб 400 мм (2 Шт)</t>
  </si>
  <si>
    <t>шафа холодильна вітринна 650*710*2100 П-390С (2 шт)</t>
  </si>
  <si>
    <t>крісло-ліжко</t>
  </si>
  <si>
    <t xml:space="preserve">крісло розкладне </t>
  </si>
  <si>
    <t>штатив ШТ-1</t>
  </si>
  <si>
    <t>опромінювач бактерицидний ОБН-75МЕ (23 шт)</t>
  </si>
  <si>
    <t>стійка для приладів СТП-1 (5 шт)</t>
  </si>
  <si>
    <t xml:space="preserve">контейнер для ТПВ з кришкою </t>
  </si>
  <si>
    <t>холодильник Grunhelm GRW-138DD</t>
  </si>
  <si>
    <t>столик для приладів СП-1 (2 шт)</t>
  </si>
  <si>
    <t>столик сповивальний ССп-2</t>
  </si>
  <si>
    <t>столик маніпуляційний СМ-2 (2 шт)</t>
  </si>
  <si>
    <t>стійка для шприцевих дозаторів СТШ-1 (5шт)</t>
  </si>
  <si>
    <t>столик маніпуляційний , столешниця з нержавіючої сталі СМ-4К</t>
  </si>
  <si>
    <t>столик для приладів СП-3</t>
  </si>
  <si>
    <t>шафа медична з бактерицидними лампами ШМБ-8 (3 шт)</t>
  </si>
  <si>
    <t>холодильник (2 шт)</t>
  </si>
  <si>
    <t>мікрохвильова</t>
  </si>
  <si>
    <t>бойлер</t>
  </si>
  <si>
    <t>тумба під мікрохвильову</t>
  </si>
  <si>
    <t>ліжко без спинки (3 шт)</t>
  </si>
  <si>
    <t xml:space="preserve">тумба приліжкова </t>
  </si>
  <si>
    <t>плед (4 шт)</t>
  </si>
  <si>
    <t>подушка (4 шт)</t>
  </si>
  <si>
    <t>ковдра (4 шт)</t>
  </si>
  <si>
    <t>захист для матраца (4 шт)</t>
  </si>
  <si>
    <t xml:space="preserve">ліжко зі спинкою (2 шт) </t>
  </si>
  <si>
    <t>столик журнальний</t>
  </si>
  <si>
    <t>тумба приліжкова (4 шт)</t>
  </si>
  <si>
    <t>стільниця S-946 статуріо 28 мм</t>
  </si>
  <si>
    <t>матрац пружинний 0,9*2,00 (5 шт)</t>
  </si>
  <si>
    <t>ламелі (ніжки) 0,90*2,00 (5 шт)</t>
  </si>
  <si>
    <t>тумба для речей (4 шт)</t>
  </si>
  <si>
    <t xml:space="preserve">тумбочка </t>
  </si>
  <si>
    <t>збірник для очищеної води на 100л з кришкою</t>
  </si>
  <si>
    <t xml:space="preserve">рушникосушарка стандарт П9 500*900 електро </t>
  </si>
  <si>
    <t>опромінювач бактерицидний ОБН-150МП (3 шт)</t>
  </si>
  <si>
    <t>опромінювач бактерицидний ОБН-75М (10 шт)</t>
  </si>
  <si>
    <t xml:space="preserve">мийка виробнича 630*630*850 глиб 450 </t>
  </si>
  <si>
    <t>мийка виробнича 630*630*850 глиб 350 (2 шт)</t>
  </si>
  <si>
    <t>мийка виробнича 840*840*850 глиб 450 (3 Шт)</t>
  </si>
  <si>
    <t>реконструкція будівлі харчоблоку</t>
  </si>
  <si>
    <t>капітальний ремонт усього, в тому числі:</t>
  </si>
  <si>
    <t>портативний пульсоксиметр CX130  укомплектований датчиком SpO2 для новонароджених або педіатричним багаторазового використання (4 шт)</t>
  </si>
  <si>
    <t xml:space="preserve">Система відеонагляду       </t>
  </si>
  <si>
    <t xml:space="preserve">Бойлер Thermex 100л.   </t>
  </si>
  <si>
    <t xml:space="preserve">Електрочайник KHATA Plus                 </t>
  </si>
  <si>
    <t xml:space="preserve">Powercom RPT-600A Schuko (ДБЖ)                   </t>
  </si>
  <si>
    <t xml:space="preserve">Електрочайник Delfa </t>
  </si>
  <si>
    <t xml:space="preserve">Столик для УЗД для дітей   </t>
  </si>
  <si>
    <t>мікрохвильова піч Delfa AMW-20MB (5 шт)</t>
  </si>
  <si>
    <t xml:space="preserve">Мікрохвильова піч Gorenje MO20E1B    </t>
  </si>
  <si>
    <t xml:space="preserve">Електрочайник Ardesto EKL-F110 </t>
  </si>
  <si>
    <t>диван</t>
  </si>
  <si>
    <t xml:space="preserve">стілець донорський </t>
  </si>
  <si>
    <t>м`який інвентар</t>
  </si>
  <si>
    <t xml:space="preserve">матрац б/н </t>
  </si>
  <si>
    <t xml:space="preserve">електричний чайник Grunhelm (35 шт)   </t>
  </si>
  <si>
    <t>факт 
за  2021 рік</t>
  </si>
  <si>
    <t>план на
 2021 рік</t>
  </si>
  <si>
    <t xml:space="preserve">Бойлер Thermex 100л. (2 шт)   </t>
  </si>
  <si>
    <t>Володимир ПРИСЯЖНЮК</t>
  </si>
  <si>
    <t>Надходження від відсотків за залишками коштів на поточних рахунках</t>
  </si>
  <si>
    <t xml:space="preserve">лікарняні листи,марки, конверти, проїздні </t>
  </si>
  <si>
    <t>інші необоротні матеріальні активи та запчастини до медичного обладнання, основних засобів та інших необоротних матеріальних активів</t>
  </si>
  <si>
    <t xml:space="preserve">дозометричний контроль </t>
  </si>
  <si>
    <t>супровід програмного зебезепечення, медіа-супровід, обслуговування сайту, кваліфікований електронний підпис</t>
  </si>
  <si>
    <t>канцтовари, періодичні видання,бланки, журнали</t>
  </si>
  <si>
    <t>облаштування кисневих точок</t>
  </si>
  <si>
    <t xml:space="preserve">обслуговування персонального комп`ютера </t>
  </si>
  <si>
    <t>консультаціні послуги</t>
  </si>
  <si>
    <t>дослідження води</t>
  </si>
  <si>
    <t>інші послуги</t>
  </si>
  <si>
    <t>ремонт покрівлі</t>
  </si>
  <si>
    <t>2020 рік</t>
  </si>
  <si>
    <t>2021 рік</t>
  </si>
  <si>
    <t xml:space="preserve">полімеразна ланцюгова реакція </t>
  </si>
  <si>
    <t>утилізація, дезінфекція, дезінсекція</t>
  </si>
  <si>
    <t>утиліутилізація, дезінфекція, дезінсекція</t>
  </si>
  <si>
    <t>6.</t>
  </si>
  <si>
    <t>6.1.</t>
  </si>
  <si>
    <t>6.1.1.</t>
  </si>
  <si>
    <t>7.1.</t>
  </si>
  <si>
    <t>7.1.1.</t>
  </si>
  <si>
    <t>9.1.</t>
  </si>
  <si>
    <t>9.1.1.</t>
  </si>
  <si>
    <t>10.1.</t>
  </si>
  <si>
    <t>10.1.1.</t>
  </si>
  <si>
    <t>11.1.</t>
  </si>
  <si>
    <t>12.1.</t>
  </si>
  <si>
    <t>13.1.1.</t>
  </si>
  <si>
    <t>14.1.</t>
  </si>
  <si>
    <t>14.1.1.</t>
  </si>
  <si>
    <t>14.1.2.</t>
  </si>
  <si>
    <t>14.2</t>
  </si>
  <si>
    <t>14.2.1.</t>
  </si>
  <si>
    <t>14.3.</t>
  </si>
  <si>
    <t>14.3.1.</t>
  </si>
  <si>
    <t>15.1.</t>
  </si>
  <si>
    <t>15.1.1.</t>
  </si>
  <si>
    <t>15.1.2.</t>
  </si>
  <si>
    <t>15.1.3.</t>
  </si>
  <si>
    <t>15.2.</t>
  </si>
  <si>
    <t>15.2.1.</t>
  </si>
  <si>
    <t>15.2.2.</t>
  </si>
  <si>
    <t>Дохід від курсової різниці на залишок коштів валютного рахунку</t>
  </si>
  <si>
    <t xml:space="preserve">Тумба без дверцят (0,4*0,4*0,8) (2 шт)      </t>
  </si>
  <si>
    <t xml:space="preserve">Поличка (1,35*1,2*0,4)  </t>
  </si>
  <si>
    <t xml:space="preserve">Поличка (1,35*0,8*0,4)    </t>
  </si>
  <si>
    <t xml:space="preserve">Шафа на 5-ть поличок 2,45*0,9*0,4     </t>
  </si>
  <si>
    <t xml:space="preserve">Тумба з дверцятами та поличкою 0,75*0,5*0,4    </t>
  </si>
  <si>
    <t>капітальний ремонт благоустрою території комунального некомерційного підприємства "Центр матері та дитини" по вул. Маяковського,138 в м.Вінниці</t>
  </si>
  <si>
    <t>Шафа</t>
  </si>
  <si>
    <t>Кондиціонер Rotex</t>
  </si>
  <si>
    <t>Кондиціонер Electrolux</t>
  </si>
  <si>
    <t xml:space="preserve">Морцелятор </t>
  </si>
  <si>
    <t xml:space="preserve">Факт 2021 року </t>
  </si>
  <si>
    <t xml:space="preserve">Кондиціонер Rotex </t>
  </si>
  <si>
    <t xml:space="preserve">   </t>
  </si>
  <si>
    <t xml:space="preserve"> </t>
  </si>
  <si>
    <t>повірка немедичного обладнання</t>
  </si>
  <si>
    <t>За рахунок коштів орендарів (енергоносії) за рахунок коштів минулих періодів</t>
  </si>
  <si>
    <t>2.</t>
  </si>
  <si>
    <t>2.1.</t>
  </si>
  <si>
    <t>2.1.1.</t>
  </si>
  <si>
    <t>2.1.2.</t>
  </si>
  <si>
    <t>2.1.3.</t>
  </si>
  <si>
    <t>2.1.4.</t>
  </si>
  <si>
    <t>2.1.5.</t>
  </si>
  <si>
    <t>2.2.</t>
  </si>
  <si>
    <t>2.2.1.</t>
  </si>
  <si>
    <t>2.2.2.</t>
  </si>
  <si>
    <t>2.3.</t>
  </si>
  <si>
    <t>2.3.1.</t>
  </si>
  <si>
    <t>3.1.</t>
  </si>
  <si>
    <t>3.1.1.</t>
  </si>
  <si>
    <t>3.2.</t>
  </si>
  <si>
    <t>4.1.</t>
  </si>
  <si>
    <t>4.1.1.</t>
  </si>
  <si>
    <t>4.1.2.</t>
  </si>
  <si>
    <t>4.2.</t>
  </si>
  <si>
    <t>4.2.1.</t>
  </si>
  <si>
    <t>4.3.</t>
  </si>
  <si>
    <t>4.3.1.</t>
  </si>
  <si>
    <t>5.1.</t>
  </si>
  <si>
    <t>5.1.1.</t>
  </si>
  <si>
    <t>5.1.2.</t>
  </si>
  <si>
    <t>5.1.3</t>
  </si>
  <si>
    <t>5.1.5.</t>
  </si>
  <si>
    <t>5.2.</t>
  </si>
  <si>
    <t>5.2.1.</t>
  </si>
  <si>
    <t>5.2.2.</t>
  </si>
  <si>
    <t>5.2.3.</t>
  </si>
  <si>
    <t>5.3.</t>
  </si>
  <si>
    <t>5.3.1.</t>
  </si>
  <si>
    <t>5.3.2.</t>
  </si>
  <si>
    <t>5.3.3.</t>
  </si>
  <si>
    <t>7.1.2.</t>
  </si>
  <si>
    <t>8.1.</t>
  </si>
  <si>
    <t>8.1.1.</t>
  </si>
  <si>
    <t>8.1.2.</t>
  </si>
  <si>
    <t>8.1.3.</t>
  </si>
  <si>
    <t>8.1.4.</t>
  </si>
  <si>
    <t>8.1.5</t>
  </si>
  <si>
    <t>8.2.</t>
  </si>
  <si>
    <t>8.2.1</t>
  </si>
  <si>
    <t>8.3.</t>
  </si>
  <si>
    <t>8.3.1.</t>
  </si>
  <si>
    <t>11.1.1.</t>
  </si>
  <si>
    <t>12.1.1</t>
  </si>
  <si>
    <t>13.1</t>
  </si>
  <si>
    <t>16.1.</t>
  </si>
  <si>
    <t>16.1.1</t>
  </si>
  <si>
    <t>16.2.</t>
  </si>
  <si>
    <t>16.2.1</t>
  </si>
  <si>
    <t>17.</t>
  </si>
  <si>
    <t>17.1.</t>
  </si>
  <si>
    <t>17.1.1.</t>
  </si>
  <si>
    <t>17.2.</t>
  </si>
  <si>
    <t>17.2.1.</t>
  </si>
  <si>
    <t>18.</t>
  </si>
  <si>
    <t>18.1.</t>
  </si>
  <si>
    <t>18.1.1.</t>
  </si>
  <si>
    <t>19.1.1</t>
  </si>
  <si>
    <t>20.1.</t>
  </si>
  <si>
    <t>20.1.1.</t>
  </si>
  <si>
    <t>21.</t>
  </si>
  <si>
    <t>21.1.</t>
  </si>
  <si>
    <t>21.1.1.</t>
  </si>
  <si>
    <t>кошти Вінницької міської територіальної громади (ВМТГ)</t>
  </si>
  <si>
    <t>капітальний ремонт інженерних мереж будівлі дитячого стаціонару КНП «ВМКЛ «ЦМтаД» за адресою вулиця Маяковського,138 в м.Вінниці</t>
  </si>
  <si>
    <t>21.2.</t>
  </si>
  <si>
    <t>22.2.1.</t>
  </si>
  <si>
    <t xml:space="preserve">запчастини до медичного обладнання </t>
  </si>
  <si>
    <t>відшкодування коштів (згідно акту за результатами ревізії , та акту звірки)</t>
  </si>
  <si>
    <t>Відшкодування коштів (згідно акту за результатами ревізії , та акту звірки)</t>
  </si>
  <si>
    <t>інші податки, збори та платежі (профспілки)</t>
  </si>
  <si>
    <t>І. Рух коштів у результаті операційної діяльності</t>
  </si>
  <si>
    <t>Виручка від реалізації продукції (товарів, робіт, послуг)</t>
  </si>
  <si>
    <t>Видатки грошових коштів від операційної діяльності</t>
  </si>
  <si>
    <t>II. Рух коштів у результаті інвестиційної діяльності</t>
  </si>
  <si>
    <t xml:space="preserve">Надходження грошових коштів від інвестиційної діяльності </t>
  </si>
  <si>
    <t xml:space="preserve">Видатки грошових коштів від інвестиційної діяльності </t>
  </si>
  <si>
    <t>Витрачання на придбання необоротних активів, у тому числі:</t>
  </si>
  <si>
    <t>III. Рух коштів у результаті фінансової діяльності</t>
  </si>
  <si>
    <t xml:space="preserve">Надходження грошових коштів від фінансової діяльності </t>
  </si>
  <si>
    <t>Розшифровка до розділу  ІІІ "Рух грошових коштів (за прямим методом)"</t>
  </si>
  <si>
    <t>Факт 2020 року</t>
  </si>
  <si>
    <t>План 2021 року</t>
  </si>
  <si>
    <t>Факт 2021 року</t>
  </si>
  <si>
    <t>відхилення,
%</t>
  </si>
  <si>
    <t>Надходження грошових коштів від операційної діяльності</t>
  </si>
  <si>
    <t>Цільове фінансуванн, усього, у тому числі:</t>
  </si>
  <si>
    <t>Інші надходження, усього, у тому числі:</t>
  </si>
  <si>
    <t>Інші витрати, усього, у тому числі:</t>
  </si>
  <si>
    <t>придбання (виготовлення) основних засобів,  усього, у тому числі:</t>
  </si>
  <si>
    <t>придбання (виготовлення) інших необоротних матеріальних активів, усього, у тому числі:</t>
  </si>
  <si>
    <t xml:space="preserve">модернізація, модифікація (добудова, дообладнання, реконструкція) основних засобів, усього, у тому числі: </t>
  </si>
  <si>
    <t xml:space="preserve">капітальний ремонт, усього, у тому числі: </t>
  </si>
  <si>
    <t xml:space="preserve">виконавчі листи та аліменти </t>
  </si>
  <si>
    <t xml:space="preserve">соціальне забезпечення </t>
  </si>
  <si>
    <t xml:space="preserve">видатки від курсової різниці </t>
  </si>
  <si>
    <t>10.2</t>
  </si>
  <si>
    <t>10.2.1</t>
  </si>
  <si>
    <t>Розділ ІІІ. Рух грошових коштів</t>
  </si>
  <si>
    <t xml:space="preserve">Надходження грошових коштів від операційної діяльності </t>
  </si>
  <si>
    <t>Цільове фінансування  (розшифрувати)</t>
  </si>
  <si>
    <r>
      <t>Інші надходження (розшифрувати)</t>
    </r>
    <r>
      <rPr>
        <i/>
        <sz val="16"/>
        <rFont val="Times New Roman"/>
        <family val="1"/>
        <charset val="204"/>
      </rPr>
      <t xml:space="preserve"> </t>
    </r>
  </si>
  <si>
    <t xml:space="preserve">Розрахунки за продукцію (товари, роботи та послуги) </t>
  </si>
  <si>
    <t xml:space="preserve">Розрахунки з оплати праці </t>
  </si>
  <si>
    <t>Зобов’язання з податків, зборів та інших обов’язкових платежів, у тому числі:</t>
  </si>
  <si>
    <t>податок на додану вартість</t>
  </si>
  <si>
    <t xml:space="preserve">єдиний внесок на загальнообов'язкове державне соціальне страхування    </t>
  </si>
  <si>
    <t>інші платежі (профспілкові внески)</t>
  </si>
  <si>
    <t>Чистий рух коштів від операційної діяльності</t>
  </si>
  <si>
    <t xml:space="preserve">Інші надходження (розшифрувати) </t>
  </si>
  <si>
    <r>
      <t>придбання (виготовлення) основних засобів (розшифрувати)</t>
    </r>
    <r>
      <rPr>
        <i/>
        <sz val="16"/>
        <rFont val="Times New Roman"/>
        <family val="1"/>
        <charset val="204"/>
      </rPr>
      <t xml:space="preserve"> </t>
    </r>
  </si>
  <si>
    <r>
      <t>придбання (створення) нематеріальних активів (розшифрувати)</t>
    </r>
    <r>
      <rPr>
        <i/>
        <sz val="16"/>
        <rFont val="Times New Roman"/>
        <family val="1"/>
        <charset val="204"/>
      </rPr>
      <t xml:space="preserve"> </t>
    </r>
  </si>
  <si>
    <t>Чистий рух коштів від інвестиційної діяльності </t>
  </si>
  <si>
    <t>Надходження від власного капіталу</t>
  </si>
  <si>
    <t>Надходження від отримання позик/кредитів/облігацій/векселів</t>
  </si>
  <si>
    <t xml:space="preserve">Видатки грошових коштів від фінансової діяльності </t>
  </si>
  <si>
    <t>Витрачання на погашення позик/кредитів/облігацій/векселів</t>
  </si>
  <si>
    <t>Витрачання на сплату дивідендів</t>
  </si>
  <si>
    <t>Витрачання на сплату відсотків за користування позиковим капіталом</t>
  </si>
  <si>
    <t>Чистий рух коштів від фінансової діяльності </t>
  </si>
  <si>
    <t>Чистий грошовий потік</t>
  </si>
  <si>
    <t>Залишок коштів на початок року</t>
  </si>
  <si>
    <t>Залишок коштів на кінець року</t>
  </si>
  <si>
    <t>кошти субвенцій з державного бюджету</t>
  </si>
  <si>
    <t>Кошти субвенції з державного бюджету</t>
  </si>
  <si>
    <t>капітальний ремонт приміщень четвертого поверху пологового будинку міської лікарні "Центр матері та дитини" за адресою: м.Вінниці вул. Маяковського,138 в м. Вінниця</t>
  </si>
  <si>
    <t xml:space="preserve">електрочайник KHATA Plus                 </t>
  </si>
  <si>
    <t xml:space="preserve">електрочайник Delfa </t>
  </si>
  <si>
    <t xml:space="preserve">електрочайник Ardesto EKL-F110 </t>
  </si>
  <si>
    <t>Капітальний ремонт усього, в тому числі: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</si>
</sst>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164" formatCode="_-* #,##0.00_₴_-;\-* #,##0.00_₴_-;_-* &quot;-&quot;??_₴_-;_-@_-"/>
    <numFmt numFmtId="165" formatCode="_-* #,##0.00\ _г_р_н_._-;\-* #,##0.00\ _г_р_н_._-;_-* &quot;-&quot;??\ _г_р_н_._-;_-@_-"/>
    <numFmt numFmtId="166" formatCode="#,##0&quot;р.&quot;;[Red]\-#,##0&quot;р.&quot;"/>
    <numFmt numFmtId="167" formatCode="#,##0.00&quot;р.&quot;;\-#,##0.00&quot;р.&quot;"/>
    <numFmt numFmtId="168" formatCode="_-* #,##0.00_р_._-;\-* #,##0.00_р_._-;_-* &quot;-&quot;??_р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_);_(@_)"/>
    <numFmt numFmtId="179" formatCode="_-* #,##0.0\ _₴_-;\-* #,##0.0\ _₴_-;_-* &quot;-&quot;?\ _₴_-;_-@_-"/>
    <numFmt numFmtId="180" formatCode="_(* #,##0.0_);_(* \(#,##0.0\);_(* &quot;-&quot;??_);_(@_)"/>
  </numFmts>
  <fonts count="100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8"/>
      <name val="Arial"/>
      <family val="2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u/>
      <sz val="16"/>
      <color theme="1"/>
      <name val="Times New Roman"/>
      <family val="1"/>
      <charset val="204"/>
    </font>
    <font>
      <b/>
      <i/>
      <sz val="16"/>
      <color theme="1"/>
      <name val="Times New Roman"/>
      <family val="1"/>
      <charset val="204"/>
    </font>
    <font>
      <sz val="16"/>
      <color theme="1"/>
      <name val="Arial Cyr"/>
      <charset val="204"/>
    </font>
    <font>
      <b/>
      <i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vertAlign val="superscript"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color rgb="FFC00000"/>
      <name val="Times New Roman"/>
      <family val="1"/>
      <charset val="204"/>
    </font>
    <font>
      <sz val="16"/>
      <color rgb="FFC00000"/>
      <name val="Times New Roman"/>
      <family val="1"/>
      <charset val="204"/>
    </font>
    <font>
      <b/>
      <sz val="18"/>
      <name val="Times New Roman"/>
      <family val="1"/>
      <charset val="204"/>
    </font>
    <font>
      <b/>
      <i/>
      <sz val="16"/>
      <name val="Times New Roman"/>
      <family val="1"/>
      <charset val="204"/>
    </font>
    <font>
      <sz val="16"/>
      <name val="Times New Roman"/>
      <family val="1"/>
      <charset val="204"/>
    </font>
    <font>
      <i/>
      <sz val="16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i/>
      <sz val="13"/>
      <color theme="1"/>
      <name val="Times New Roman"/>
      <family val="1"/>
      <charset val="204"/>
    </font>
    <font>
      <i/>
      <sz val="13"/>
      <color theme="1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sz val="13"/>
      <name val="Times New Roman"/>
      <family val="1"/>
      <charset val="204"/>
    </font>
    <font>
      <sz val="13"/>
      <color theme="0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i/>
      <sz val="16"/>
      <color theme="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54"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24" fillId="2" borderId="0" applyNumberFormat="0" applyBorder="0" applyAlignment="0" applyProtection="0"/>
    <xf numFmtId="0" fontId="1" fillId="2" borderId="0" applyNumberFormat="0" applyBorder="0" applyAlignment="0" applyProtection="0"/>
    <xf numFmtId="0" fontId="24" fillId="3" borderId="0" applyNumberFormat="0" applyBorder="0" applyAlignment="0" applyProtection="0"/>
    <xf numFmtId="0" fontId="1" fillId="3" borderId="0" applyNumberFormat="0" applyBorder="0" applyAlignment="0" applyProtection="0"/>
    <xf numFmtId="0" fontId="24" fillId="4" borderId="0" applyNumberFormat="0" applyBorder="0" applyAlignment="0" applyProtection="0"/>
    <xf numFmtId="0" fontId="1" fillId="4" borderId="0" applyNumberFormat="0" applyBorder="0" applyAlignment="0" applyProtection="0"/>
    <xf numFmtId="0" fontId="24" fillId="5" borderId="0" applyNumberFormat="0" applyBorder="0" applyAlignment="0" applyProtection="0"/>
    <xf numFmtId="0" fontId="1" fillId="5" borderId="0" applyNumberFormat="0" applyBorder="0" applyAlignment="0" applyProtection="0"/>
    <xf numFmtId="0" fontId="24" fillId="6" borderId="0" applyNumberFormat="0" applyBorder="0" applyAlignment="0" applyProtection="0"/>
    <xf numFmtId="0" fontId="1" fillId="6" borderId="0" applyNumberFormat="0" applyBorder="0" applyAlignment="0" applyProtection="0"/>
    <xf numFmtId="0" fontId="24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4" fillId="8" borderId="0" applyNumberFormat="0" applyBorder="0" applyAlignment="0" applyProtection="0"/>
    <xf numFmtId="0" fontId="1" fillId="8" borderId="0" applyNumberFormat="0" applyBorder="0" applyAlignment="0" applyProtection="0"/>
    <xf numFmtId="0" fontId="24" fillId="9" borderId="0" applyNumberFormat="0" applyBorder="0" applyAlignment="0" applyProtection="0"/>
    <xf numFmtId="0" fontId="1" fillId="9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5" borderId="0" applyNumberFormat="0" applyBorder="0" applyAlignment="0" applyProtection="0"/>
    <xf numFmtId="0" fontId="1" fillId="5" borderId="0" applyNumberFormat="0" applyBorder="0" applyAlignment="0" applyProtection="0"/>
    <xf numFmtId="0" fontId="24" fillId="8" borderId="0" applyNumberFormat="0" applyBorder="0" applyAlignment="0" applyProtection="0"/>
    <xf numFmtId="0" fontId="1" fillId="8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25" fillId="12" borderId="0" applyNumberFormat="0" applyBorder="0" applyAlignment="0" applyProtection="0"/>
    <xf numFmtId="0" fontId="7" fillId="12" borderId="0" applyNumberFormat="0" applyBorder="0" applyAlignment="0" applyProtection="0"/>
    <xf numFmtId="0" fontId="25" fillId="9" borderId="0" applyNumberFormat="0" applyBorder="0" applyAlignment="0" applyProtection="0"/>
    <xf numFmtId="0" fontId="7" fillId="9" borderId="0" applyNumberFormat="0" applyBorder="0" applyAlignment="0" applyProtection="0"/>
    <xf numFmtId="0" fontId="25" fillId="10" borderId="0" applyNumberFormat="0" applyBorder="0" applyAlignment="0" applyProtection="0"/>
    <xf numFmtId="0" fontId="7" fillId="10" borderId="0" applyNumberFormat="0" applyBorder="0" applyAlignment="0" applyProtection="0"/>
    <xf numFmtId="0" fontId="25" fillId="13" borderId="0" applyNumberFormat="0" applyBorder="0" applyAlignment="0" applyProtection="0"/>
    <xf numFmtId="0" fontId="7" fillId="13" borderId="0" applyNumberFormat="0" applyBorder="0" applyAlignment="0" applyProtection="0"/>
    <xf numFmtId="0" fontId="25" fillId="14" borderId="0" applyNumberFormat="0" applyBorder="0" applyAlignment="0" applyProtection="0"/>
    <xf numFmtId="0" fontId="7" fillId="14" borderId="0" applyNumberFormat="0" applyBorder="0" applyAlignment="0" applyProtection="0"/>
    <xf numFmtId="0" fontId="25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8" fillId="3" borderId="0" applyNumberFormat="0" applyBorder="0" applyAlignment="0" applyProtection="0"/>
    <xf numFmtId="0" fontId="10" fillId="20" borderId="1" applyNumberFormat="0" applyAlignment="0" applyProtection="0"/>
    <xf numFmtId="0" fontId="15" fillId="21" borderId="2" applyNumberFormat="0" applyAlignment="0" applyProtection="0"/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165" fontId="5" fillId="0" borderId="0" applyFont="0" applyFill="0" applyBorder="0" applyAlignment="0" applyProtection="0"/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0" fontId="19" fillId="0" borderId="0" applyNumberFormat="0" applyFill="0" applyBorder="0" applyAlignment="0" applyProtection="0"/>
    <xf numFmtId="171" fontId="27" fillId="0" borderId="0" applyAlignment="0">
      <alignment wrapText="1"/>
    </xf>
    <xf numFmtId="0" fontId="22" fillId="4" borderId="0" applyNumberFormat="0" applyBorder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3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8" fillId="7" borderId="1" applyNumberFormat="0" applyAlignment="0" applyProtection="0"/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29" fillId="22" borderId="7">
      <alignment horizontal="left" vertical="center"/>
      <protection locked="0"/>
    </xf>
    <xf numFmtId="49" fontId="29" fillId="22" borderId="7">
      <alignment horizontal="left" vertical="center"/>
    </xf>
    <xf numFmtId="4" fontId="29" fillId="22" borderId="7">
      <alignment horizontal="right" vertical="center"/>
      <protection locked="0"/>
    </xf>
    <xf numFmtId="4" fontId="29" fillId="22" borderId="7">
      <alignment horizontal="right" vertical="center"/>
    </xf>
    <xf numFmtId="4" fontId="30" fillId="22" borderId="7">
      <alignment horizontal="right" vertical="center"/>
      <protection locked="0"/>
    </xf>
    <xf numFmtId="49" fontId="31" fillId="22" borderId="3">
      <alignment horizontal="left" vertical="center"/>
      <protection locked="0"/>
    </xf>
    <xf numFmtId="49" fontId="31" fillId="22" borderId="3">
      <alignment horizontal="left" vertical="center"/>
    </xf>
    <xf numFmtId="49" fontId="32" fillId="22" borderId="3">
      <alignment horizontal="left" vertical="center"/>
      <protection locked="0"/>
    </xf>
    <xf numFmtId="49" fontId="32" fillId="22" borderId="3">
      <alignment horizontal="left" vertical="center"/>
    </xf>
    <xf numFmtId="4" fontId="31" fillId="22" borderId="3">
      <alignment horizontal="right" vertical="center"/>
      <protection locked="0"/>
    </xf>
    <xf numFmtId="4" fontId="31" fillId="22" borderId="3">
      <alignment horizontal="right" vertical="center"/>
    </xf>
    <xf numFmtId="4" fontId="33" fillId="22" borderId="3">
      <alignment horizontal="right" vertical="center"/>
      <protection locked="0"/>
    </xf>
    <xf numFmtId="49" fontId="26" fillId="22" borderId="3">
      <alignment horizontal="left" vertical="center"/>
      <protection locked="0"/>
    </xf>
    <xf numFmtId="49" fontId="26" fillId="22" borderId="3">
      <alignment horizontal="left" vertical="center"/>
      <protection locked="0"/>
    </xf>
    <xf numFmtId="49" fontId="26" fillId="22" borderId="3">
      <alignment horizontal="left" vertical="center"/>
    </xf>
    <xf numFmtId="49" fontId="26" fillId="22" borderId="3">
      <alignment horizontal="left" vertical="center"/>
    </xf>
    <xf numFmtId="49" fontId="30" fillId="22" borderId="3">
      <alignment horizontal="left" vertical="center"/>
      <protection locked="0"/>
    </xf>
    <xf numFmtId="49" fontId="30" fillId="22" borderId="3">
      <alignment horizontal="left" vertical="center"/>
    </xf>
    <xf numFmtId="4" fontId="26" fillId="22" borderId="3">
      <alignment horizontal="right" vertical="center"/>
      <protection locked="0"/>
    </xf>
    <xf numFmtId="4" fontId="26" fillId="22" borderId="3">
      <alignment horizontal="right" vertical="center"/>
      <protection locked="0"/>
    </xf>
    <xf numFmtId="4" fontId="26" fillId="22" borderId="3">
      <alignment horizontal="right" vertical="center"/>
    </xf>
    <xf numFmtId="4" fontId="26" fillId="22" borderId="3">
      <alignment horizontal="right" vertical="center"/>
    </xf>
    <xf numFmtId="4" fontId="30" fillId="22" borderId="3">
      <alignment horizontal="right" vertical="center"/>
      <protection locked="0"/>
    </xf>
    <xf numFmtId="49" fontId="34" fillId="22" borderId="3">
      <alignment horizontal="left" vertical="center"/>
      <protection locked="0"/>
    </xf>
    <xf numFmtId="49" fontId="34" fillId="22" borderId="3">
      <alignment horizontal="left" vertical="center"/>
    </xf>
    <xf numFmtId="49" fontId="35" fillId="22" borderId="3">
      <alignment horizontal="left" vertical="center"/>
      <protection locked="0"/>
    </xf>
    <xf numFmtId="49" fontId="35" fillId="22" borderId="3">
      <alignment horizontal="left" vertical="center"/>
    </xf>
    <xf numFmtId="4" fontId="34" fillId="22" borderId="3">
      <alignment horizontal="right" vertical="center"/>
      <protection locked="0"/>
    </xf>
    <xf numFmtId="4" fontId="34" fillId="22" borderId="3">
      <alignment horizontal="right" vertical="center"/>
    </xf>
    <xf numFmtId="4" fontId="36" fillId="22" borderId="3">
      <alignment horizontal="right" vertical="center"/>
      <protection locked="0"/>
    </xf>
    <xf numFmtId="49" fontId="37" fillId="0" borderId="3">
      <alignment horizontal="left" vertical="center"/>
      <protection locked="0"/>
    </xf>
    <xf numFmtId="49" fontId="37" fillId="0" borderId="3">
      <alignment horizontal="left" vertical="center"/>
    </xf>
    <xf numFmtId="49" fontId="38" fillId="0" borderId="3">
      <alignment horizontal="left" vertical="center"/>
      <protection locked="0"/>
    </xf>
    <xf numFmtId="49" fontId="38" fillId="0" borderId="3">
      <alignment horizontal="left" vertical="center"/>
    </xf>
    <xf numFmtId="4" fontId="37" fillId="0" borderId="3">
      <alignment horizontal="right" vertical="center"/>
      <protection locked="0"/>
    </xf>
    <xf numFmtId="4" fontId="37" fillId="0" borderId="3">
      <alignment horizontal="right" vertical="center"/>
    </xf>
    <xf numFmtId="4" fontId="38" fillId="0" borderId="3">
      <alignment horizontal="right" vertical="center"/>
      <protection locked="0"/>
    </xf>
    <xf numFmtId="49" fontId="39" fillId="0" borderId="3">
      <alignment horizontal="left" vertical="center"/>
      <protection locked="0"/>
    </xf>
    <xf numFmtId="49" fontId="39" fillId="0" borderId="3">
      <alignment horizontal="left" vertical="center"/>
    </xf>
    <xf numFmtId="49" fontId="40" fillId="0" borderId="3">
      <alignment horizontal="left" vertical="center"/>
      <protection locked="0"/>
    </xf>
    <xf numFmtId="49" fontId="40" fillId="0" borderId="3">
      <alignment horizontal="left" vertical="center"/>
    </xf>
    <xf numFmtId="4" fontId="39" fillId="0" borderId="3">
      <alignment horizontal="right" vertical="center"/>
      <protection locked="0"/>
    </xf>
    <xf numFmtId="4" fontId="39" fillId="0" borderId="3">
      <alignment horizontal="right" vertical="center"/>
    </xf>
    <xf numFmtId="49" fontId="37" fillId="0" borderId="3">
      <alignment horizontal="left" vertical="center"/>
      <protection locked="0"/>
    </xf>
    <xf numFmtId="49" fontId="38" fillId="0" borderId="3">
      <alignment horizontal="left" vertical="center"/>
      <protection locked="0"/>
    </xf>
    <xf numFmtId="4" fontId="37" fillId="0" borderId="3">
      <alignment horizontal="right" vertical="center"/>
      <protection locked="0"/>
    </xf>
    <xf numFmtId="0" fontId="20" fillId="0" borderId="8" applyNumberFormat="0" applyFill="0" applyAlignment="0" applyProtection="0"/>
    <xf numFmtId="0" fontId="17" fillId="23" borderId="0" applyNumberFormat="0" applyBorder="0" applyAlignment="0" applyProtection="0"/>
    <xf numFmtId="0" fontId="5" fillId="0" borderId="0"/>
    <xf numFmtId="0" fontId="5" fillId="0" borderId="0"/>
    <xf numFmtId="0" fontId="5" fillId="24" borderId="0" applyNumberFormat="0" applyFill="0" applyAlignment="0">
      <alignment horizontal="center"/>
      <protection locked="0"/>
    </xf>
    <xf numFmtId="0" fontId="2" fillId="25" borderId="9" applyNumberFormat="0" applyFont="0" applyAlignment="0" applyProtection="0"/>
    <xf numFmtId="4" fontId="41" fillId="26" borderId="3">
      <alignment horizontal="right" vertical="center"/>
      <protection locked="0"/>
    </xf>
    <xf numFmtId="4" fontId="41" fillId="27" borderId="3">
      <alignment horizontal="right" vertical="center"/>
      <protection locked="0"/>
    </xf>
    <xf numFmtId="4" fontId="41" fillId="28" borderId="3">
      <alignment horizontal="right" vertical="center"/>
      <protection locked="0"/>
    </xf>
    <xf numFmtId="0" fontId="9" fillId="20" borderId="10" applyNumberFormat="0" applyAlignment="0" applyProtection="0"/>
    <xf numFmtId="49" fontId="26" fillId="0" borderId="3">
      <alignment horizontal="left" vertical="center" wrapText="1"/>
      <protection locked="0"/>
    </xf>
    <xf numFmtId="49" fontId="26" fillId="0" borderId="3">
      <alignment horizontal="left" vertical="center" wrapText="1"/>
      <protection locked="0"/>
    </xf>
    <xf numFmtId="0" fontId="16" fillId="0" borderId="0" applyNumberFormat="0" applyFill="0" applyBorder="0" applyAlignment="0" applyProtection="0"/>
    <xf numFmtId="0" fontId="14" fillId="0" borderId="11" applyNumberFormat="0" applyFill="0" applyAlignment="0" applyProtection="0"/>
    <xf numFmtId="0" fontId="21" fillId="0" borderId="0" applyNumberFormat="0" applyFill="0" applyBorder="0" applyAlignment="0" applyProtection="0"/>
    <xf numFmtId="0" fontId="25" fillId="16" borderId="0" applyNumberFormat="0" applyBorder="0" applyAlignment="0" applyProtection="0"/>
    <xf numFmtId="0" fontId="7" fillId="16" borderId="0" applyNumberFormat="0" applyBorder="0" applyAlignment="0" applyProtection="0"/>
    <xf numFmtId="0" fontId="25" fillId="17" borderId="0" applyNumberFormat="0" applyBorder="0" applyAlignment="0" applyProtection="0"/>
    <xf numFmtId="0" fontId="7" fillId="17" borderId="0" applyNumberFormat="0" applyBorder="0" applyAlignment="0" applyProtection="0"/>
    <xf numFmtId="0" fontId="25" fillId="18" borderId="0" applyNumberFormat="0" applyBorder="0" applyAlignment="0" applyProtection="0"/>
    <xf numFmtId="0" fontId="7" fillId="18" borderId="0" applyNumberFormat="0" applyBorder="0" applyAlignment="0" applyProtection="0"/>
    <xf numFmtId="0" fontId="25" fillId="13" borderId="0" applyNumberFormat="0" applyBorder="0" applyAlignment="0" applyProtection="0"/>
    <xf numFmtId="0" fontId="7" fillId="13" borderId="0" applyNumberFormat="0" applyBorder="0" applyAlignment="0" applyProtection="0"/>
    <xf numFmtId="0" fontId="25" fillId="14" borderId="0" applyNumberFormat="0" applyBorder="0" applyAlignment="0" applyProtection="0"/>
    <xf numFmtId="0" fontId="7" fillId="14" borderId="0" applyNumberFormat="0" applyBorder="0" applyAlignment="0" applyProtection="0"/>
    <xf numFmtId="0" fontId="25" fillId="19" borderId="0" applyNumberFormat="0" applyBorder="0" applyAlignment="0" applyProtection="0"/>
    <xf numFmtId="0" fontId="7" fillId="19" borderId="0" applyNumberFormat="0" applyBorder="0" applyAlignment="0" applyProtection="0"/>
    <xf numFmtId="0" fontId="42" fillId="7" borderId="1" applyNumberFormat="0" applyAlignment="0" applyProtection="0"/>
    <xf numFmtId="0" fontId="8" fillId="7" borderId="1" applyNumberFormat="0" applyAlignment="0" applyProtection="0"/>
    <xf numFmtId="0" fontId="43" fillId="20" borderId="10" applyNumberFormat="0" applyAlignment="0" applyProtection="0"/>
    <xf numFmtId="0" fontId="9" fillId="20" borderId="10" applyNumberFormat="0" applyAlignment="0" applyProtection="0"/>
    <xf numFmtId="0" fontId="44" fillId="20" borderId="1" applyNumberFormat="0" applyAlignment="0" applyProtection="0"/>
    <xf numFmtId="0" fontId="10" fillId="20" borderId="1" applyNumberFormat="0" applyAlignment="0" applyProtection="0"/>
    <xf numFmtId="172" fontId="5" fillId="0" borderId="0" applyFont="0" applyFill="0" applyBorder="0" applyAlignment="0" applyProtection="0"/>
    <xf numFmtId="0" fontId="45" fillId="0" borderId="4" applyNumberFormat="0" applyFill="0" applyAlignment="0" applyProtection="0"/>
    <xf numFmtId="0" fontId="11" fillId="0" borderId="4" applyNumberFormat="0" applyFill="0" applyAlignment="0" applyProtection="0"/>
    <xf numFmtId="0" fontId="46" fillId="0" borderId="5" applyNumberFormat="0" applyFill="0" applyAlignment="0" applyProtection="0"/>
    <xf numFmtId="0" fontId="12" fillId="0" borderId="5" applyNumberFormat="0" applyFill="0" applyAlignment="0" applyProtection="0"/>
    <xf numFmtId="0" fontId="47" fillId="0" borderId="6" applyNumberFormat="0" applyFill="0" applyAlignment="0" applyProtection="0"/>
    <xf numFmtId="0" fontId="13" fillId="0" borderId="6" applyNumberFormat="0" applyFill="0" applyAlignment="0" applyProtection="0"/>
    <xf numFmtId="0" fontId="4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8" fillId="0" borderId="11" applyNumberFormat="0" applyFill="0" applyAlignment="0" applyProtection="0"/>
    <xf numFmtId="0" fontId="14" fillId="0" borderId="11" applyNumberFormat="0" applyFill="0" applyAlignment="0" applyProtection="0"/>
    <xf numFmtId="0" fontId="49" fillId="21" borderId="2" applyNumberFormat="0" applyAlignment="0" applyProtection="0"/>
    <xf numFmtId="0" fontId="15" fillId="21" borderId="2" applyNumberFormat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0" fillId="23" borderId="0" applyNumberFormat="0" applyBorder="0" applyAlignment="0" applyProtection="0"/>
    <xf numFmtId="0" fontId="17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5" fillId="0" borderId="0"/>
    <xf numFmtId="0" fontId="2" fillId="0" borderId="0"/>
    <xf numFmtId="0" fontId="5" fillId="0" borderId="0"/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1" fillId="3" borderId="0" applyNumberFormat="0" applyBorder="0" applyAlignment="0" applyProtection="0"/>
    <xf numFmtId="0" fontId="18" fillId="3" borderId="0" applyNumberFormat="0" applyBorder="0" applyAlignment="0" applyProtection="0"/>
    <xf numFmtId="0" fontId="5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3" fillId="25" borderId="9" applyNumberFormat="0" applyFont="0" applyAlignment="0" applyProtection="0"/>
    <xf numFmtId="0" fontId="5" fillId="25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4" fillId="0" borderId="8" applyNumberFormat="0" applyFill="0" applyAlignment="0" applyProtection="0"/>
    <xf numFmtId="0" fontId="20" fillId="0" borderId="8" applyNumberFormat="0" applyFill="0" applyAlignment="0" applyProtection="0"/>
    <xf numFmtId="0" fontId="2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73" fontId="57" fillId="0" borderId="0" applyFont="0" applyFill="0" applyBorder="0" applyAlignment="0" applyProtection="0"/>
    <xf numFmtId="174" fontId="5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8" fillId="4" borderId="0" applyNumberFormat="0" applyBorder="0" applyAlignment="0" applyProtection="0"/>
    <xf numFmtId="0" fontId="22" fillId="4" borderId="0" applyNumberFormat="0" applyBorder="0" applyAlignment="0" applyProtection="0"/>
    <xf numFmtId="176" fontId="59" fillId="22" borderId="12" applyFill="0" applyBorder="0">
      <alignment horizontal="center" vertical="center" wrapText="1"/>
      <protection locked="0"/>
    </xf>
    <xf numFmtId="171" fontId="60" fillId="0" borderId="0">
      <alignment wrapText="1"/>
    </xf>
    <xf numFmtId="171" fontId="27" fillId="0" borderId="0">
      <alignment wrapText="1"/>
    </xf>
    <xf numFmtId="0" fontId="5" fillId="0" borderId="0"/>
  </cellStyleXfs>
  <cellXfs count="453">
    <xf numFmtId="0" fontId="0" fillId="0" borderId="0" xfId="0"/>
    <xf numFmtId="178" fontId="66" fillId="29" borderId="3" xfId="0" applyNumberFormat="1" applyFont="1" applyFill="1" applyBorder="1" applyAlignment="1">
      <alignment horizontal="center" vertical="center" wrapText="1"/>
    </xf>
    <xf numFmtId="0" fontId="62" fillId="29" borderId="3" xfId="0" applyFont="1" applyFill="1" applyBorder="1" applyAlignment="1">
      <alignment horizontal="center" vertical="center" wrapText="1" shrinkToFit="1"/>
    </xf>
    <xf numFmtId="0" fontId="66" fillId="29" borderId="3" xfId="0" applyFont="1" applyFill="1" applyBorder="1" applyAlignment="1">
      <alignment horizontal="center" vertical="center"/>
    </xf>
    <xf numFmtId="0" fontId="62" fillId="29" borderId="3" xfId="0" applyFont="1" applyFill="1" applyBorder="1" applyAlignment="1">
      <alignment horizontal="center" vertical="center"/>
    </xf>
    <xf numFmtId="178" fontId="62" fillId="29" borderId="3" xfId="0" applyNumberFormat="1" applyFont="1" applyFill="1" applyBorder="1" applyAlignment="1">
      <alignment horizontal="center" vertical="center" wrapText="1"/>
    </xf>
    <xf numFmtId="0" fontId="66" fillId="29" borderId="3" xfId="0" applyFont="1" applyFill="1" applyBorder="1" applyAlignment="1">
      <alignment horizontal="center" vertical="center" wrapText="1"/>
    </xf>
    <xf numFmtId="0" fontId="66" fillId="29" borderId="20" xfId="182" applyFont="1" applyFill="1" applyBorder="1" applyAlignment="1">
      <alignment vertical="center" wrapText="1"/>
      <protection locked="0"/>
    </xf>
    <xf numFmtId="0" fontId="62" fillId="29" borderId="21" xfId="0" applyFont="1" applyFill="1" applyBorder="1" applyAlignment="1">
      <alignment horizontal="left" vertical="center" wrapText="1"/>
    </xf>
    <xf numFmtId="0" fontId="62" fillId="29" borderId="20" xfId="0" applyFont="1" applyFill="1" applyBorder="1" applyAlignment="1">
      <alignment horizontal="left" vertical="center" wrapText="1"/>
    </xf>
    <xf numFmtId="0" fontId="62" fillId="29" borderId="22" xfId="0" applyFont="1" applyFill="1" applyBorder="1" applyAlignment="1">
      <alignment horizontal="left" vertical="center" wrapText="1"/>
    </xf>
    <xf numFmtId="0" fontId="62" fillId="29" borderId="23" xfId="0" applyFont="1" applyFill="1" applyBorder="1" applyAlignment="1">
      <alignment horizontal="center" vertical="center"/>
    </xf>
    <xf numFmtId="49" fontId="66" fillId="29" borderId="3" xfId="0" applyNumberFormat="1" applyFont="1" applyFill="1" applyBorder="1" applyAlignment="1">
      <alignment horizontal="center" vertical="center"/>
    </xf>
    <xf numFmtId="177" fontId="66" fillId="29" borderId="3" xfId="0" applyNumberFormat="1" applyFont="1" applyFill="1" applyBorder="1" applyAlignment="1">
      <alignment horizontal="center" vertical="center" wrapText="1"/>
    </xf>
    <xf numFmtId="177" fontId="62" fillId="29" borderId="3" xfId="0" applyNumberFormat="1" applyFont="1" applyFill="1" applyBorder="1" applyAlignment="1">
      <alignment horizontal="center" vertical="center" wrapText="1"/>
    </xf>
    <xf numFmtId="178" fontId="63" fillId="29" borderId="3" xfId="0" applyNumberFormat="1" applyFont="1" applyFill="1" applyBorder="1" applyAlignment="1">
      <alignment horizontal="center" vertical="center" wrapText="1"/>
    </xf>
    <xf numFmtId="178" fontId="65" fillId="29" borderId="3" xfId="0" applyNumberFormat="1" applyFont="1" applyFill="1" applyBorder="1" applyAlignment="1">
      <alignment horizontal="center" vertical="center" wrapText="1"/>
    </xf>
    <xf numFmtId="0" fontId="65" fillId="29" borderId="0" xfId="0" quotePrefix="1" applyFont="1" applyFill="1" applyBorder="1" applyAlignment="1">
      <alignment horizontal="center" vertical="center"/>
    </xf>
    <xf numFmtId="0" fontId="65" fillId="29" borderId="0" xfId="0" applyFont="1" applyFill="1" applyBorder="1" applyAlignment="1">
      <alignment vertical="center"/>
    </xf>
    <xf numFmtId="178" fontId="64" fillId="29" borderId="3" xfId="0" applyNumberFormat="1" applyFont="1" applyFill="1" applyBorder="1" applyAlignment="1">
      <alignment horizontal="center" vertical="center" wrapText="1"/>
    </xf>
    <xf numFmtId="178" fontId="65" fillId="29" borderId="0" xfId="0" applyNumberFormat="1" applyFont="1" applyFill="1" applyBorder="1" applyAlignment="1">
      <alignment vertical="center"/>
    </xf>
    <xf numFmtId="0" fontId="67" fillId="29" borderId="3" xfId="0" applyFont="1" applyFill="1" applyBorder="1" applyAlignment="1">
      <alignment horizontal="center" vertical="center"/>
    </xf>
    <xf numFmtId="178" fontId="62" fillId="29" borderId="23" xfId="0" applyNumberFormat="1" applyFont="1" applyFill="1" applyBorder="1" applyAlignment="1">
      <alignment horizontal="center" vertical="center" wrapText="1"/>
    </xf>
    <xf numFmtId="0" fontId="67" fillId="29" borderId="20" xfId="0" applyFont="1" applyFill="1" applyBorder="1" applyAlignment="1">
      <alignment horizontal="center" vertical="center"/>
    </xf>
    <xf numFmtId="0" fontId="66" fillId="29" borderId="20" xfId="0" applyFont="1" applyFill="1" applyBorder="1" applyAlignment="1" applyProtection="1">
      <alignment horizontal="left" vertical="center" wrapText="1"/>
      <protection locked="0"/>
    </xf>
    <xf numFmtId="0" fontId="62" fillId="29" borderId="20" xfId="182" applyFont="1" applyFill="1" applyBorder="1" applyAlignment="1">
      <alignment vertical="center" wrapText="1"/>
      <protection locked="0"/>
    </xf>
    <xf numFmtId="0" fontId="62" fillId="29" borderId="22" xfId="182" applyFont="1" applyFill="1" applyBorder="1" applyAlignment="1">
      <alignment vertical="center" wrapText="1"/>
      <protection locked="0"/>
    </xf>
    <xf numFmtId="177" fontId="62" fillId="29" borderId="23" xfId="0" applyNumberFormat="1" applyFont="1" applyFill="1" applyBorder="1" applyAlignment="1">
      <alignment horizontal="center" vertical="center" wrapText="1"/>
    </xf>
    <xf numFmtId="178" fontId="66" fillId="29" borderId="12" xfId="0" applyNumberFormat="1" applyFont="1" applyFill="1" applyBorder="1" applyAlignment="1">
      <alignment horizontal="center" vertical="center" wrapText="1"/>
    </xf>
    <xf numFmtId="178" fontId="62" fillId="29" borderId="12" xfId="0" applyNumberFormat="1" applyFont="1" applyFill="1" applyBorder="1" applyAlignment="1">
      <alignment horizontal="center" vertical="center" wrapText="1"/>
    </xf>
    <xf numFmtId="178" fontId="62" fillId="29" borderId="26" xfId="0" applyNumberFormat="1" applyFont="1" applyFill="1" applyBorder="1" applyAlignment="1">
      <alignment horizontal="center" vertical="center" wrapText="1"/>
    </xf>
    <xf numFmtId="0" fontId="66" fillId="29" borderId="20" xfId="245" applyFont="1" applyFill="1" applyBorder="1" applyAlignment="1">
      <alignment horizontal="left" vertical="center" wrapText="1"/>
    </xf>
    <xf numFmtId="0" fontId="62" fillId="29" borderId="20" xfId="245" applyFont="1" applyFill="1" applyBorder="1" applyAlignment="1">
      <alignment horizontal="left" vertical="center" wrapText="1"/>
    </xf>
    <xf numFmtId="0" fontId="66" fillId="29" borderId="23" xfId="0" applyFont="1" applyFill="1" applyBorder="1" applyAlignment="1">
      <alignment horizontal="center" vertical="center" wrapText="1"/>
    </xf>
    <xf numFmtId="178" fontId="66" fillId="29" borderId="23" xfId="0" applyNumberFormat="1" applyFont="1" applyFill="1" applyBorder="1" applyAlignment="1">
      <alignment horizontal="center" vertical="center" wrapText="1"/>
    </xf>
    <xf numFmtId="178" fontId="66" fillId="29" borderId="26" xfId="0" applyNumberFormat="1" applyFont="1" applyFill="1" applyBorder="1" applyAlignment="1">
      <alignment horizontal="center" vertical="center" wrapText="1"/>
    </xf>
    <xf numFmtId="0" fontId="66" fillId="29" borderId="22" xfId="0" applyFont="1" applyFill="1" applyBorder="1" applyAlignment="1">
      <alignment horizontal="left" vertical="center" wrapText="1"/>
    </xf>
    <xf numFmtId="0" fontId="66" fillId="29" borderId="22" xfId="182" applyFont="1" applyFill="1" applyBorder="1" applyAlignment="1">
      <alignment vertical="center" wrapText="1"/>
      <protection locked="0"/>
    </xf>
    <xf numFmtId="0" fontId="66" fillId="29" borderId="23" xfId="0" applyFont="1" applyFill="1" applyBorder="1" applyAlignment="1">
      <alignment horizontal="center" vertical="center"/>
    </xf>
    <xf numFmtId="0" fontId="75" fillId="29" borderId="3" xfId="0" applyFont="1" applyFill="1" applyBorder="1" applyAlignment="1">
      <alignment vertical="center" wrapText="1"/>
    </xf>
    <xf numFmtId="0" fontId="75" fillId="29" borderId="3" xfId="0" applyFont="1" applyFill="1" applyBorder="1" applyAlignment="1">
      <alignment horizontal="center" vertical="center"/>
    </xf>
    <xf numFmtId="0" fontId="75" fillId="29" borderId="3" xfId="0" applyFont="1" applyFill="1" applyBorder="1" applyAlignment="1">
      <alignment horizontal="left" vertical="center" wrapText="1"/>
    </xf>
    <xf numFmtId="0" fontId="75" fillId="29" borderId="3" xfId="0" applyFont="1" applyFill="1" applyBorder="1" applyAlignment="1">
      <alignment horizontal="left" vertical="center"/>
    </xf>
    <xf numFmtId="0" fontId="65" fillId="29" borderId="3" xfId="0" applyFont="1" applyFill="1" applyBorder="1" applyAlignment="1">
      <alignment horizontal="left" vertical="center"/>
    </xf>
    <xf numFmtId="0" fontId="64" fillId="29" borderId="3" xfId="0" applyFont="1" applyFill="1" applyBorder="1" applyAlignment="1">
      <alignment horizontal="center" vertical="center" wrapText="1"/>
    </xf>
    <xf numFmtId="0" fontId="75" fillId="29" borderId="3" xfId="0" applyFont="1" applyFill="1" applyBorder="1" applyAlignment="1">
      <alignment horizontal="center" vertical="center" wrapText="1"/>
    </xf>
    <xf numFmtId="0" fontId="65" fillId="29" borderId="3" xfId="0" applyFont="1" applyFill="1" applyBorder="1" applyAlignment="1">
      <alignment horizontal="center" vertical="center"/>
    </xf>
    <xf numFmtId="0" fontId="65" fillId="29" borderId="3" xfId="0" applyFont="1" applyFill="1" applyBorder="1" applyAlignment="1">
      <alignment horizontal="center" vertical="center" wrapText="1"/>
    </xf>
    <xf numFmtId="0" fontId="75" fillId="29" borderId="16" xfId="0" applyFont="1" applyFill="1" applyBorder="1" applyAlignment="1">
      <alignment vertical="center" wrapText="1"/>
    </xf>
    <xf numFmtId="0" fontId="65" fillId="29" borderId="3" xfId="0" applyFont="1" applyFill="1" applyBorder="1" applyAlignment="1">
      <alignment horizontal="left" vertical="center" wrapText="1"/>
    </xf>
    <xf numFmtId="0" fontId="75" fillId="29" borderId="3" xfId="0" applyFont="1" applyFill="1" applyBorder="1" applyAlignment="1">
      <alignment vertical="center"/>
    </xf>
    <xf numFmtId="0" fontId="75" fillId="29" borderId="3" xfId="0" quotePrefix="1" applyFont="1" applyFill="1" applyBorder="1" applyAlignment="1">
      <alignment horizontal="center" vertical="center"/>
    </xf>
    <xf numFmtId="49" fontId="63" fillId="29" borderId="3" xfId="0" applyNumberFormat="1" applyFont="1" applyFill="1" applyBorder="1" applyAlignment="1">
      <alignment horizontal="center" vertical="center"/>
    </xf>
    <xf numFmtId="49" fontId="65" fillId="29" borderId="3" xfId="0" applyNumberFormat="1" applyFont="1" applyFill="1" applyBorder="1" applyAlignment="1">
      <alignment horizontal="center" vertical="center"/>
    </xf>
    <xf numFmtId="49" fontId="64" fillId="29" borderId="3" xfId="0" applyNumberFormat="1" applyFont="1" applyFill="1" applyBorder="1" applyAlignment="1">
      <alignment horizontal="center" vertical="center"/>
    </xf>
    <xf numFmtId="0" fontId="77" fillId="29" borderId="3" xfId="0" applyFont="1" applyFill="1" applyBorder="1" applyAlignment="1">
      <alignment horizontal="left" vertical="center" wrapText="1"/>
    </xf>
    <xf numFmtId="0" fontId="77" fillId="29" borderId="3" xfId="0" applyFont="1" applyFill="1" applyBorder="1" applyAlignment="1">
      <alignment horizontal="center" vertical="center" wrapText="1"/>
    </xf>
    <xf numFmtId="0" fontId="64" fillId="29" borderId="3" xfId="0" applyFont="1" applyFill="1" applyBorder="1" applyAlignment="1">
      <alignment horizontal="left" vertical="center"/>
    </xf>
    <xf numFmtId="0" fontId="65" fillId="29" borderId="3" xfId="0" applyFont="1" applyFill="1" applyBorder="1" applyAlignment="1">
      <alignment vertical="center"/>
    </xf>
    <xf numFmtId="0" fontId="75" fillId="29" borderId="28" xfId="0" applyFont="1" applyFill="1" applyBorder="1" applyAlignment="1">
      <alignment horizontal="left" vertical="center" wrapText="1"/>
    </xf>
    <xf numFmtId="0" fontId="75" fillId="29" borderId="17" xfId="0" applyFont="1" applyFill="1" applyBorder="1" applyAlignment="1">
      <alignment horizontal="left" vertical="center" wrapText="1"/>
    </xf>
    <xf numFmtId="0" fontId="63" fillId="29" borderId="0" xfId="0" applyFont="1" applyFill="1" applyBorder="1" applyAlignment="1">
      <alignment horizontal="center" vertical="center" wrapText="1"/>
    </xf>
    <xf numFmtId="0" fontId="65" fillId="29" borderId="17" xfId="0" applyFont="1" applyFill="1" applyBorder="1" applyAlignment="1">
      <alignment horizontal="center" vertical="center"/>
    </xf>
    <xf numFmtId="0" fontId="65" fillId="29" borderId="17" xfId="0" applyFont="1" applyFill="1" applyBorder="1" applyAlignment="1">
      <alignment horizontal="center" vertical="center" wrapText="1"/>
    </xf>
    <xf numFmtId="0" fontId="63" fillId="29" borderId="3" xfId="0" applyFont="1" applyFill="1" applyBorder="1" applyAlignment="1">
      <alignment horizontal="center" vertical="center" wrapText="1"/>
    </xf>
    <xf numFmtId="0" fontId="63" fillId="29" borderId="3" xfId="0" applyFont="1" applyFill="1" applyBorder="1" applyAlignment="1">
      <alignment vertical="center" wrapText="1"/>
    </xf>
    <xf numFmtId="178" fontId="63" fillId="29" borderId="3" xfId="0" applyNumberFormat="1" applyFont="1" applyFill="1" applyBorder="1" applyAlignment="1">
      <alignment horizontal="center" vertical="center"/>
    </xf>
    <xf numFmtId="0" fontId="64" fillId="29" borderId="3" xfId="0" applyFont="1" applyFill="1" applyBorder="1" applyAlignment="1">
      <alignment horizontal="left" vertical="center" wrapText="1"/>
    </xf>
    <xf numFmtId="178" fontId="65" fillId="29" borderId="3" xfId="0" applyNumberFormat="1" applyFont="1" applyFill="1" applyBorder="1" applyAlignment="1">
      <alignment horizontal="center" vertical="center"/>
    </xf>
    <xf numFmtId="0" fontId="74" fillId="29" borderId="3" xfId="0" applyFont="1" applyFill="1" applyBorder="1" applyAlignment="1">
      <alignment horizontal="center" vertical="center" wrapText="1"/>
    </xf>
    <xf numFmtId="0" fontId="64" fillId="29" borderId="3" xfId="0" applyFont="1" applyFill="1" applyBorder="1" applyAlignment="1">
      <alignment vertical="center" wrapText="1"/>
    </xf>
    <xf numFmtId="0" fontId="63" fillId="29" borderId="3" xfId="0" applyFont="1" applyFill="1" applyBorder="1" applyAlignment="1">
      <alignment horizontal="left" vertical="center" wrapText="1"/>
    </xf>
    <xf numFmtId="49" fontId="74" fillId="29" borderId="3" xfId="0" applyNumberFormat="1" applyFont="1" applyFill="1" applyBorder="1" applyAlignment="1">
      <alignment horizontal="center" vertical="center"/>
    </xf>
    <xf numFmtId="0" fontId="65" fillId="29" borderId="0" xfId="0" applyFont="1" applyFill="1" applyBorder="1" applyAlignment="1">
      <alignment horizontal="left" vertical="center" wrapText="1"/>
    </xf>
    <xf numFmtId="170" fontId="65" fillId="29" borderId="0" xfId="0" applyNumberFormat="1" applyFont="1" applyFill="1" applyBorder="1" applyAlignment="1">
      <alignment horizontal="right" vertical="center" wrapText="1"/>
    </xf>
    <xf numFmtId="0" fontId="63" fillId="29" borderId="0" xfId="0" applyFont="1" applyFill="1" applyBorder="1" applyAlignment="1">
      <alignment vertical="center"/>
    </xf>
    <xf numFmtId="0" fontId="65" fillId="29" borderId="0" xfId="0" applyFont="1" applyFill="1" applyBorder="1" applyAlignment="1">
      <alignment vertical="center" wrapText="1"/>
    </xf>
    <xf numFmtId="0" fontId="76" fillId="29" borderId="3" xfId="0" applyFont="1" applyFill="1" applyBorder="1" applyAlignment="1">
      <alignment horizontal="center" vertical="center" wrapText="1"/>
    </xf>
    <xf numFmtId="0" fontId="63" fillId="29" borderId="3" xfId="0" quotePrefix="1" applyFont="1" applyFill="1" applyBorder="1" applyAlignment="1">
      <alignment horizontal="center" vertical="center"/>
    </xf>
    <xf numFmtId="0" fontId="65" fillId="29" borderId="3" xfId="0" quotePrefix="1" applyFont="1" applyFill="1" applyBorder="1" applyAlignment="1">
      <alignment horizontal="center" vertical="center"/>
    </xf>
    <xf numFmtId="0" fontId="63" fillId="29" borderId="3" xfId="0" applyFont="1" applyFill="1" applyBorder="1" applyAlignment="1">
      <alignment vertical="center"/>
    </xf>
    <xf numFmtId="179" fontId="63" fillId="29" borderId="0" xfId="0" applyNumberFormat="1" applyFont="1" applyFill="1" applyBorder="1" applyAlignment="1">
      <alignment vertical="center"/>
    </xf>
    <xf numFmtId="179" fontId="65" fillId="29" borderId="0" xfId="0" applyNumberFormat="1" applyFont="1" applyFill="1" applyBorder="1" applyAlignment="1">
      <alignment vertical="center"/>
    </xf>
    <xf numFmtId="0" fontId="74" fillId="29" borderId="0" xfId="0" applyFont="1" applyFill="1" applyBorder="1" applyAlignment="1">
      <alignment vertical="center"/>
    </xf>
    <xf numFmtId="0" fontId="79" fillId="29" borderId="0" xfId="0" applyFont="1" applyFill="1" applyBorder="1" applyAlignment="1">
      <alignment vertical="center"/>
    </xf>
    <xf numFmtId="0" fontId="72" fillId="29" borderId="3" xfId="0" applyFont="1" applyFill="1" applyBorder="1" applyAlignment="1">
      <alignment horizontal="left" vertical="center"/>
    </xf>
    <xf numFmtId="178" fontId="75" fillId="29" borderId="3" xfId="0" applyNumberFormat="1" applyFont="1" applyFill="1" applyBorder="1" applyAlignment="1">
      <alignment horizontal="center" vertical="center" wrapText="1"/>
    </xf>
    <xf numFmtId="0" fontId="65" fillId="29" borderId="15" xfId="0" applyFont="1" applyFill="1" applyBorder="1" applyAlignment="1">
      <alignment vertical="center"/>
    </xf>
    <xf numFmtId="0" fontId="63" fillId="29" borderId="15" xfId="0" applyFont="1" applyFill="1" applyBorder="1" applyAlignment="1">
      <alignment vertical="center"/>
    </xf>
    <xf numFmtId="0" fontId="65" fillId="29" borderId="15" xfId="0" applyFont="1" applyFill="1" applyBorder="1" applyAlignment="1">
      <alignment horizontal="center" vertical="center"/>
    </xf>
    <xf numFmtId="0" fontId="75" fillId="29" borderId="28" xfId="0" applyFont="1" applyFill="1" applyBorder="1" applyAlignment="1">
      <alignment horizontal="left" vertical="center"/>
    </xf>
    <xf numFmtId="49" fontId="80" fillId="29" borderId="3" xfId="0" applyNumberFormat="1" applyFont="1" applyFill="1" applyBorder="1" applyAlignment="1">
      <alignment horizontal="center" vertical="center"/>
    </xf>
    <xf numFmtId="0" fontId="80" fillId="29" borderId="3" xfId="0" applyFont="1" applyFill="1" applyBorder="1" applyAlignment="1">
      <alignment horizontal="center" vertical="center"/>
    </xf>
    <xf numFmtId="49" fontId="77" fillId="29" borderId="3" xfId="0" applyNumberFormat="1" applyFont="1" applyFill="1" applyBorder="1" applyAlignment="1">
      <alignment horizontal="center" vertical="center"/>
    </xf>
    <xf numFmtId="0" fontId="77" fillId="29" borderId="3" xfId="0" applyFont="1" applyFill="1" applyBorder="1" applyAlignment="1">
      <alignment horizontal="center" vertical="center"/>
    </xf>
    <xf numFmtId="0" fontId="75" fillId="29" borderId="15" xfId="0" applyFont="1" applyFill="1" applyBorder="1" applyAlignment="1">
      <alignment vertical="center"/>
    </xf>
    <xf numFmtId="0" fontId="75" fillId="29" borderId="15" xfId="0" applyFont="1" applyFill="1" applyBorder="1" applyAlignment="1">
      <alignment vertical="center" wrapText="1"/>
    </xf>
    <xf numFmtId="49" fontId="64" fillId="29" borderId="15" xfId="0" applyNumberFormat="1" applyFont="1" applyFill="1" applyBorder="1" applyAlignment="1">
      <alignment horizontal="center" vertical="center"/>
    </xf>
    <xf numFmtId="0" fontId="75" fillId="29" borderId="29" xfId="0" applyFont="1" applyFill="1" applyBorder="1" applyAlignment="1">
      <alignment vertical="center" wrapText="1"/>
    </xf>
    <xf numFmtId="0" fontId="65" fillId="29" borderId="18" xfId="0" applyFont="1" applyFill="1" applyBorder="1" applyAlignment="1">
      <alignment vertical="center" wrapText="1"/>
    </xf>
    <xf numFmtId="0" fontId="75" fillId="29" borderId="29" xfId="0" applyFont="1" applyFill="1" applyBorder="1" applyAlignment="1">
      <alignment horizontal="left" vertical="center" wrapText="1"/>
    </xf>
    <xf numFmtId="49" fontId="66" fillId="29" borderId="16" xfId="0" applyNumberFormat="1" applyFont="1" applyFill="1" applyBorder="1" applyAlignment="1">
      <alignment horizontal="center" vertical="center"/>
    </xf>
    <xf numFmtId="0" fontId="80" fillId="29" borderId="3" xfId="0" applyFont="1" applyFill="1" applyBorder="1" applyAlignment="1">
      <alignment horizontal="center" vertical="center" wrapText="1"/>
    </xf>
    <xf numFmtId="170" fontId="65" fillId="29" borderId="0" xfId="0" applyNumberFormat="1" applyFont="1" applyFill="1" applyBorder="1" applyAlignment="1">
      <alignment horizontal="center" vertical="center" wrapText="1"/>
    </xf>
    <xf numFmtId="170" fontId="65" fillId="29" borderId="0" xfId="0" applyNumberFormat="1" applyFont="1" applyFill="1" applyBorder="1" applyAlignment="1">
      <alignment horizontal="left" vertical="center" wrapText="1"/>
    </xf>
    <xf numFmtId="0" fontId="65" fillId="29" borderId="13" xfId="0" applyFont="1" applyFill="1" applyBorder="1" applyAlignment="1">
      <alignment horizontal="center" vertical="center"/>
    </xf>
    <xf numFmtId="178" fontId="63" fillId="29" borderId="3" xfId="0" applyNumberFormat="1" applyFont="1" applyFill="1" applyBorder="1" applyAlignment="1">
      <alignment vertical="center"/>
    </xf>
    <xf numFmtId="178" fontId="74" fillId="29" borderId="3" xfId="0" applyNumberFormat="1" applyFont="1" applyFill="1" applyBorder="1" applyAlignment="1">
      <alignment horizontal="center" vertical="center" wrapText="1"/>
    </xf>
    <xf numFmtId="0" fontId="75" fillId="29" borderId="3" xfId="353" applyFont="1" applyFill="1" applyBorder="1" applyAlignment="1">
      <alignment vertical="center" wrapText="1"/>
    </xf>
    <xf numFmtId="178" fontId="65" fillId="29" borderId="3" xfId="0" applyNumberFormat="1" applyFont="1" applyFill="1" applyBorder="1" applyAlignment="1">
      <alignment vertical="center"/>
    </xf>
    <xf numFmtId="0" fontId="64" fillId="29" borderId="3" xfId="0" quotePrefix="1" applyFont="1" applyFill="1" applyBorder="1" applyAlignment="1">
      <alignment horizontal="center" vertical="center"/>
    </xf>
    <xf numFmtId="0" fontId="75" fillId="29" borderId="3" xfId="0" applyFont="1" applyFill="1" applyBorder="1" applyAlignment="1">
      <alignment vertical="top" wrapText="1"/>
    </xf>
    <xf numFmtId="0" fontId="62" fillId="29" borderId="0" xfId="0" applyFont="1" applyFill="1" applyBorder="1" applyAlignment="1">
      <alignment horizontal="center" vertical="center"/>
    </xf>
    <xf numFmtId="0" fontId="62" fillId="29" borderId="0" xfId="0" applyFont="1" applyFill="1" applyAlignment="1">
      <alignment horizontal="right" vertical="center"/>
    </xf>
    <xf numFmtId="0" fontId="62" fillId="29" borderId="0" xfId="0" applyFont="1" applyFill="1" applyAlignment="1">
      <alignment vertical="center"/>
    </xf>
    <xf numFmtId="0" fontId="66" fillId="29" borderId="0" xfId="0" applyFont="1" applyFill="1" applyBorder="1" applyAlignment="1">
      <alignment horizontal="left" vertical="center"/>
    </xf>
    <xf numFmtId="0" fontId="62" fillId="29" borderId="13" xfId="0" applyFont="1" applyFill="1" applyBorder="1" applyAlignment="1">
      <alignment vertical="center"/>
    </xf>
    <xf numFmtId="0" fontId="62" fillId="29" borderId="17" xfId="0" applyFont="1" applyFill="1" applyBorder="1" applyAlignment="1">
      <alignment horizontal="center" vertical="center" wrapText="1"/>
    </xf>
    <xf numFmtId="178" fontId="62" fillId="29" borderId="3" xfId="0" applyNumberFormat="1" applyFont="1" applyFill="1" applyBorder="1" applyAlignment="1">
      <alignment horizontal="center" vertical="center"/>
    </xf>
    <xf numFmtId="0" fontId="62" fillId="29" borderId="0" xfId="0" applyFont="1" applyFill="1" applyBorder="1" applyAlignment="1">
      <alignment horizontal="center" vertical="center" wrapText="1"/>
    </xf>
    <xf numFmtId="169" fontId="62" fillId="29" borderId="0" xfId="0" applyNumberFormat="1" applyFont="1" applyFill="1" applyBorder="1" applyAlignment="1">
      <alignment horizontal="center" vertical="center" wrapText="1"/>
    </xf>
    <xf numFmtId="0" fontId="66" fillId="29" borderId="0" xfId="0" applyFont="1" applyFill="1" applyBorder="1" applyAlignment="1">
      <alignment horizontal="right" vertical="center"/>
    </xf>
    <xf numFmtId="169" fontId="66" fillId="29" borderId="0" xfId="0" applyNumberFormat="1" applyFont="1" applyFill="1" applyBorder="1" applyAlignment="1">
      <alignment horizontal="right" vertical="center"/>
    </xf>
    <xf numFmtId="0" fontId="62" fillId="29" borderId="0" xfId="0" applyFont="1" applyFill="1" applyAlignment="1"/>
    <xf numFmtId="0" fontId="68" fillId="29" borderId="0" xfId="0" applyFont="1" applyFill="1" applyBorder="1" applyAlignment="1">
      <alignment horizontal="center" vertical="center"/>
    </xf>
    <xf numFmtId="0" fontId="68" fillId="29" borderId="19" xfId="0" applyFont="1" applyFill="1" applyBorder="1" applyAlignment="1">
      <alignment horizontal="center" vertical="center"/>
    </xf>
    <xf numFmtId="0" fontId="62" fillId="29" borderId="0" xfId="0" applyFont="1" applyFill="1" applyAlignment="1">
      <alignment vertical="center" wrapText="1" shrinkToFit="1"/>
    </xf>
    <xf numFmtId="0" fontId="62" fillId="29" borderId="0" xfId="0" applyFont="1" applyFill="1" applyBorder="1" applyAlignment="1">
      <alignment vertical="center" wrapText="1" shrinkToFit="1"/>
    </xf>
    <xf numFmtId="0" fontId="72" fillId="29" borderId="0" xfId="0" applyFont="1" applyFill="1" applyAlignment="1">
      <alignment vertical="center"/>
    </xf>
    <xf numFmtId="0" fontId="66" fillId="29" borderId="0" xfId="0" applyFont="1" applyFill="1" applyBorder="1" applyAlignment="1">
      <alignment vertical="center"/>
    </xf>
    <xf numFmtId="178" fontId="63" fillId="29" borderId="0" xfId="0" applyNumberFormat="1" applyFont="1" applyFill="1" applyBorder="1" applyAlignment="1">
      <alignment vertical="center"/>
    </xf>
    <xf numFmtId="179" fontId="65" fillId="29" borderId="0" xfId="0" applyNumberFormat="1" applyFont="1" applyFill="1" applyBorder="1" applyAlignment="1">
      <alignment horizontal="right"/>
    </xf>
    <xf numFmtId="0" fontId="77" fillId="29" borderId="15" xfId="0" applyFont="1" applyFill="1" applyBorder="1" applyAlignment="1">
      <alignment vertical="center" wrapText="1"/>
    </xf>
    <xf numFmtId="178" fontId="64" fillId="29" borderId="3" xfId="0" applyNumberFormat="1" applyFont="1" applyFill="1" applyBorder="1" applyAlignment="1">
      <alignment horizontal="center" vertical="center"/>
    </xf>
    <xf numFmtId="0" fontId="74" fillId="29" borderId="3" xfId="0" applyFont="1" applyFill="1" applyBorder="1" applyAlignment="1">
      <alignment vertical="center" wrapText="1"/>
    </xf>
    <xf numFmtId="0" fontId="74" fillId="29" borderId="3" xfId="0" applyFont="1" applyFill="1" applyBorder="1" applyAlignment="1">
      <alignment horizontal="left" vertical="center" wrapText="1"/>
    </xf>
    <xf numFmtId="178" fontId="74" fillId="29" borderId="3" xfId="0" applyNumberFormat="1" applyFont="1" applyFill="1" applyBorder="1" applyAlignment="1">
      <alignment horizontal="center" vertical="center"/>
    </xf>
    <xf numFmtId="0" fontId="64" fillId="29" borderId="15" xfId="0" applyFont="1" applyFill="1" applyBorder="1" applyAlignment="1">
      <alignment vertical="center" wrapText="1"/>
    </xf>
    <xf numFmtId="0" fontId="79" fillId="29" borderId="3" xfId="0" applyFont="1" applyFill="1" applyBorder="1" applyAlignment="1">
      <alignment horizontal="left" vertical="center" wrapText="1"/>
    </xf>
    <xf numFmtId="0" fontId="79" fillId="29" borderId="3" xfId="0" applyFont="1" applyFill="1" applyBorder="1" applyAlignment="1">
      <alignment horizontal="center" vertical="center"/>
    </xf>
    <xf numFmtId="0" fontId="77" fillId="29" borderId="3" xfId="0" applyFont="1" applyFill="1" applyBorder="1" applyAlignment="1">
      <alignment vertical="center" wrapText="1"/>
    </xf>
    <xf numFmtId="0" fontId="74" fillId="29" borderId="3" xfId="0" applyFont="1" applyFill="1" applyBorder="1" applyAlignment="1">
      <alignment horizontal="left" vertical="center"/>
    </xf>
    <xf numFmtId="0" fontId="79" fillId="29" borderId="3" xfId="0" applyFont="1" applyFill="1" applyBorder="1" applyAlignment="1">
      <alignment horizontal="center" vertical="center" wrapText="1"/>
    </xf>
    <xf numFmtId="0" fontId="77" fillId="29" borderId="16" xfId="0" applyFont="1" applyFill="1" applyBorder="1" applyAlignment="1">
      <alignment horizontal="left" vertical="center" wrapText="1"/>
    </xf>
    <xf numFmtId="0" fontId="77" fillId="29" borderId="3" xfId="0" quotePrefix="1" applyFont="1" applyFill="1" applyBorder="1" applyAlignment="1">
      <alignment horizontal="center" vertical="center"/>
    </xf>
    <xf numFmtId="0" fontId="74" fillId="29" borderId="3" xfId="0" applyFont="1" applyFill="1" applyBorder="1" applyAlignment="1">
      <alignment horizontal="center" vertical="center"/>
    </xf>
    <xf numFmtId="0" fontId="77" fillId="29" borderId="15" xfId="0" applyFont="1" applyFill="1" applyBorder="1" applyAlignment="1">
      <alignment vertical="center"/>
    </xf>
    <xf numFmtId="49" fontId="79" fillId="29" borderId="3" xfId="0" applyNumberFormat="1" applyFont="1" applyFill="1" applyBorder="1" applyAlignment="1">
      <alignment horizontal="center" vertical="center"/>
    </xf>
    <xf numFmtId="0" fontId="79" fillId="29" borderId="14" xfId="0" applyFont="1" applyFill="1" applyBorder="1" applyAlignment="1">
      <alignment horizontal="left" vertical="center"/>
    </xf>
    <xf numFmtId="49" fontId="74" fillId="29" borderId="15" xfId="0" applyNumberFormat="1" applyFont="1" applyFill="1" applyBorder="1" applyAlignment="1">
      <alignment horizontal="center" vertical="center"/>
    </xf>
    <xf numFmtId="0" fontId="74" fillId="29" borderId="3" xfId="182" applyFont="1" applyFill="1" applyBorder="1" applyAlignment="1">
      <alignment vertical="center" wrapText="1"/>
      <protection locked="0"/>
    </xf>
    <xf numFmtId="49" fontId="74" fillId="29" borderId="16" xfId="0" applyNumberFormat="1" applyFont="1" applyFill="1" applyBorder="1" applyAlignment="1">
      <alignment horizontal="center" vertical="center"/>
    </xf>
    <xf numFmtId="0" fontId="74" fillId="29" borderId="17" xfId="0" applyFont="1" applyFill="1" applyBorder="1" applyAlignment="1">
      <alignment horizontal="left" vertical="center" wrapText="1"/>
    </xf>
    <xf numFmtId="179" fontId="63" fillId="29" borderId="3" xfId="0" applyNumberFormat="1" applyFont="1" applyFill="1" applyBorder="1" applyAlignment="1">
      <alignment horizontal="center" vertical="center" wrapText="1"/>
    </xf>
    <xf numFmtId="178" fontId="63" fillId="29" borderId="3" xfId="0" applyNumberFormat="1" applyFont="1" applyFill="1" applyBorder="1" applyAlignment="1">
      <alignment horizontal="right" vertical="center"/>
    </xf>
    <xf numFmtId="178" fontId="65" fillId="29" borderId="0" xfId="0" applyNumberFormat="1" applyFont="1" applyFill="1" applyBorder="1" applyAlignment="1">
      <alignment horizontal="right"/>
    </xf>
    <xf numFmtId="0" fontId="81" fillId="29" borderId="0" xfId="0" applyFont="1" applyFill="1" applyBorder="1" applyAlignment="1">
      <alignment vertical="center"/>
    </xf>
    <xf numFmtId="170" fontId="62" fillId="29" borderId="3" xfId="0" applyNumberFormat="1" applyFont="1" applyFill="1" applyBorder="1" applyAlignment="1">
      <alignment horizontal="right" vertical="center" wrapText="1"/>
    </xf>
    <xf numFmtId="170" fontId="62" fillId="29" borderId="12" xfId="0" applyNumberFormat="1" applyFont="1" applyFill="1" applyBorder="1" applyAlignment="1">
      <alignment horizontal="right" vertical="center" wrapText="1"/>
    </xf>
    <xf numFmtId="170" fontId="66" fillId="29" borderId="23" xfId="0" applyNumberFormat="1" applyFont="1" applyFill="1" applyBorder="1" applyAlignment="1">
      <alignment horizontal="right" vertical="center" wrapText="1"/>
    </xf>
    <xf numFmtId="170" fontId="66" fillId="29" borderId="26" xfId="0" applyNumberFormat="1" applyFont="1" applyFill="1" applyBorder="1" applyAlignment="1">
      <alignment horizontal="right" vertical="center" wrapText="1"/>
    </xf>
    <xf numFmtId="0" fontId="70" fillId="29" borderId="0" xfId="0" applyFont="1" applyFill="1" applyBorder="1" applyAlignment="1">
      <alignment horizontal="center" wrapText="1"/>
    </xf>
    <xf numFmtId="0" fontId="75" fillId="29" borderId="3" xfId="353" applyFont="1" applyFill="1" applyBorder="1" applyAlignment="1">
      <alignment horizontal="left" vertical="center" wrapText="1"/>
    </xf>
    <xf numFmtId="0" fontId="84" fillId="29" borderId="3" xfId="0" applyFont="1" applyFill="1" applyBorder="1" applyAlignment="1">
      <alignment horizontal="left" vertical="center" wrapText="1"/>
    </xf>
    <xf numFmtId="0" fontId="84" fillId="29" borderId="3" xfId="0" quotePrefix="1" applyFont="1" applyFill="1" applyBorder="1" applyAlignment="1">
      <alignment horizontal="center" vertical="center"/>
    </xf>
    <xf numFmtId="0" fontId="75" fillId="29" borderId="3" xfId="0" applyFont="1" applyFill="1" applyBorder="1" applyAlignment="1">
      <alignment wrapText="1"/>
    </xf>
    <xf numFmtId="0" fontId="65" fillId="29" borderId="0" xfId="0" applyFont="1" applyFill="1" applyBorder="1" applyAlignment="1">
      <alignment horizontal="left" vertical="center"/>
    </xf>
    <xf numFmtId="0" fontId="65" fillId="29" borderId="0" xfId="0" applyFont="1" applyFill="1" applyBorder="1" applyAlignment="1">
      <alignment horizontal="center" vertical="center" wrapText="1"/>
    </xf>
    <xf numFmtId="0" fontId="65" fillId="29" borderId="0" xfId="0" applyFont="1" applyFill="1" applyBorder="1" applyAlignment="1">
      <alignment horizontal="center" vertical="center"/>
    </xf>
    <xf numFmtId="178" fontId="75" fillId="29" borderId="3" xfId="0" applyNumberFormat="1" applyFont="1" applyFill="1" applyBorder="1" applyAlignment="1">
      <alignment horizontal="right" vertical="center" wrapText="1"/>
    </xf>
    <xf numFmtId="0" fontId="75" fillId="29" borderId="3" xfId="0" applyFont="1" applyFill="1" applyBorder="1" applyAlignment="1">
      <alignment horizontal="left" vertical="top" wrapText="1"/>
    </xf>
    <xf numFmtId="0" fontId="62" fillId="29" borderId="0" xfId="0" applyFont="1" applyFill="1" applyAlignment="1">
      <alignment horizontal="center" vertical="center"/>
    </xf>
    <xf numFmtId="0" fontId="62" fillId="29" borderId="3" xfId="0" applyFont="1" applyFill="1" applyBorder="1" applyAlignment="1">
      <alignment horizontal="center" vertical="center" wrapText="1"/>
    </xf>
    <xf numFmtId="0" fontId="62" fillId="29" borderId="0" xfId="0" applyFont="1" applyFill="1" applyBorder="1" applyAlignment="1">
      <alignment vertical="center"/>
    </xf>
    <xf numFmtId="178" fontId="65" fillId="29" borderId="0" xfId="0" applyNumberFormat="1" applyFont="1" applyFill="1" applyBorder="1" applyAlignment="1">
      <alignment horizontal="center" vertical="center" wrapText="1"/>
    </xf>
    <xf numFmtId="0" fontId="62" fillId="29" borderId="0" xfId="0" applyFont="1" applyFill="1" applyBorder="1" applyAlignment="1"/>
    <xf numFmtId="0" fontId="62" fillId="29" borderId="13" xfId="0" applyFont="1" applyFill="1" applyBorder="1" applyAlignment="1">
      <alignment horizontal="center" vertical="center"/>
    </xf>
    <xf numFmtId="0" fontId="62" fillId="29" borderId="19" xfId="0" applyFont="1" applyFill="1" applyBorder="1" applyAlignment="1">
      <alignment horizontal="center" vertical="center"/>
    </xf>
    <xf numFmtId="0" fontId="65" fillId="29" borderId="18" xfId="0" applyFont="1" applyFill="1" applyBorder="1" applyAlignment="1">
      <alignment horizontal="left" vertical="center"/>
    </xf>
    <xf numFmtId="178" fontId="65" fillId="29" borderId="0" xfId="0" applyNumberFormat="1" applyFont="1" applyFill="1" applyBorder="1" applyAlignment="1">
      <alignment horizontal="center"/>
    </xf>
    <xf numFmtId="179" fontId="65" fillId="29" borderId="0" xfId="0" applyNumberFormat="1" applyFont="1" applyFill="1" applyBorder="1" applyAlignment="1">
      <alignment horizontal="center"/>
    </xf>
    <xf numFmtId="0" fontId="62" fillId="29" borderId="3" xfId="0" applyFont="1" applyFill="1" applyBorder="1" applyAlignment="1">
      <alignment horizontal="center" vertical="center" wrapText="1"/>
    </xf>
    <xf numFmtId="0" fontId="62" fillId="29" borderId="0" xfId="0" applyFont="1" applyFill="1" applyAlignment="1">
      <alignment horizontal="left" vertical="center"/>
    </xf>
    <xf numFmtId="170" fontId="66" fillId="29" borderId="0" xfId="0" applyNumberFormat="1" applyFont="1" applyFill="1" applyBorder="1" applyAlignment="1">
      <alignment horizontal="right" vertical="center" wrapText="1"/>
    </xf>
    <xf numFmtId="0" fontId="63" fillId="29" borderId="15" xfId="0" applyFont="1" applyFill="1" applyBorder="1" applyAlignment="1">
      <alignment horizontal="left" vertical="center" wrapText="1"/>
    </xf>
    <xf numFmtId="0" fontId="63" fillId="29" borderId="15" xfId="0" applyFont="1" applyFill="1" applyBorder="1" applyAlignment="1">
      <alignment horizontal="center" vertical="center" wrapText="1"/>
    </xf>
    <xf numFmtId="0" fontId="65" fillId="29" borderId="0" xfId="0" applyFont="1" applyFill="1" applyBorder="1" applyAlignment="1">
      <alignment horizontal="center" vertical="center" wrapText="1"/>
    </xf>
    <xf numFmtId="0" fontId="65" fillId="29" borderId="0" xfId="0" applyFont="1" applyFill="1" applyBorder="1" applyAlignment="1">
      <alignment horizontal="center" vertical="center"/>
    </xf>
    <xf numFmtId="0" fontId="62" fillId="29" borderId="15" xfId="0" applyFont="1" applyFill="1" applyBorder="1" applyAlignment="1">
      <alignment horizontal="center" vertical="center" wrapText="1"/>
    </xf>
    <xf numFmtId="0" fontId="65" fillId="29" borderId="0" xfId="0" applyFont="1" applyFill="1" applyBorder="1" applyAlignment="1">
      <alignment horizontal="left" vertical="center"/>
    </xf>
    <xf numFmtId="0" fontId="65" fillId="29" borderId="0" xfId="0" applyFont="1" applyFill="1" applyBorder="1" applyAlignment="1">
      <alignment horizontal="center" vertical="center"/>
    </xf>
    <xf numFmtId="4" fontId="65" fillId="29" borderId="3" xfId="0" applyNumberFormat="1" applyFont="1" applyFill="1" applyBorder="1"/>
    <xf numFmtId="178" fontId="75" fillId="29" borderId="3" xfId="0" applyNumberFormat="1" applyFont="1" applyFill="1" applyBorder="1" applyAlignment="1">
      <alignment horizontal="center" vertical="center"/>
    </xf>
    <xf numFmtId="0" fontId="68" fillId="29" borderId="0" xfId="0" applyFont="1" applyFill="1" applyAlignment="1">
      <alignment horizontal="center" vertical="center"/>
    </xf>
    <xf numFmtId="0" fontId="82" fillId="29" borderId="0" xfId="0" applyFont="1" applyFill="1" applyBorder="1" applyAlignment="1">
      <alignment horizontal="center" vertical="center"/>
    </xf>
    <xf numFmtId="0" fontId="66" fillId="29" borderId="0" xfId="0" applyFont="1" applyFill="1" applyBorder="1" applyAlignment="1" applyProtection="1">
      <alignment horizontal="left" vertical="center"/>
      <protection locked="0"/>
    </xf>
    <xf numFmtId="170" fontId="66" fillId="29" borderId="0" xfId="0" applyNumberFormat="1" applyFont="1" applyFill="1" applyBorder="1" applyAlignment="1">
      <alignment horizontal="center" vertical="center" wrapText="1"/>
    </xf>
    <xf numFmtId="170" fontId="62" fillId="29" borderId="0" xfId="0" applyNumberFormat="1" applyFont="1" applyFill="1" applyBorder="1" applyAlignment="1">
      <alignment horizontal="center" vertical="center" wrapText="1"/>
    </xf>
    <xf numFmtId="0" fontId="62" fillId="29" borderId="0" xfId="0" quotePrefix="1" applyFont="1" applyFill="1" applyBorder="1" applyAlignment="1">
      <alignment horizontal="center" vertical="center"/>
    </xf>
    <xf numFmtId="0" fontId="62" fillId="29" borderId="0" xfId="0" applyFont="1" applyFill="1" applyBorder="1" applyAlignment="1">
      <alignment vertical="center" wrapText="1"/>
    </xf>
    <xf numFmtId="179" fontId="62" fillId="29" borderId="0" xfId="0" applyNumberFormat="1" applyFont="1" applyFill="1" applyBorder="1" applyAlignment="1">
      <alignment vertical="center"/>
    </xf>
    <xf numFmtId="0" fontId="85" fillId="29" borderId="0" xfId="0" applyFont="1" applyFill="1" applyBorder="1" applyAlignment="1">
      <alignment vertical="center"/>
    </xf>
    <xf numFmtId="179" fontId="62" fillId="29" borderId="0" xfId="0" applyNumberFormat="1" applyFont="1" applyFill="1" applyBorder="1" applyAlignment="1">
      <alignment horizontal="center" vertical="center"/>
    </xf>
    <xf numFmtId="178" fontId="66" fillId="29" borderId="3" xfId="0" applyNumberFormat="1" applyFont="1" applyFill="1" applyBorder="1" applyAlignment="1">
      <alignment horizontal="right" vertical="center" wrapText="1"/>
    </xf>
    <xf numFmtId="0" fontId="85" fillId="29" borderId="0" xfId="0" applyFont="1" applyFill="1" applyAlignment="1">
      <alignment horizontal="left" vertical="center"/>
    </xf>
    <xf numFmtId="0" fontId="85" fillId="29" borderId="3" xfId="0" applyFont="1" applyFill="1" applyBorder="1" applyAlignment="1">
      <alignment horizontal="center" vertical="center" wrapText="1" shrinkToFit="1"/>
    </xf>
    <xf numFmtId="0" fontId="85" fillId="29" borderId="17" xfId="0" applyFont="1" applyFill="1" applyBorder="1" applyAlignment="1">
      <alignment horizontal="center" vertical="center" wrapText="1"/>
    </xf>
    <xf numFmtId="178" fontId="80" fillId="29" borderId="3" xfId="0" applyNumberFormat="1" applyFont="1" applyFill="1" applyBorder="1" applyAlignment="1">
      <alignment horizontal="center" vertical="center" wrapText="1"/>
    </xf>
    <xf numFmtId="178" fontId="85" fillId="29" borderId="3" xfId="0" applyNumberFormat="1" applyFont="1" applyFill="1" applyBorder="1" applyAlignment="1">
      <alignment horizontal="center" vertical="center" wrapText="1"/>
    </xf>
    <xf numFmtId="178" fontId="80" fillId="29" borderId="23" xfId="0" applyNumberFormat="1" applyFont="1" applyFill="1" applyBorder="1" applyAlignment="1">
      <alignment horizontal="center" vertical="center" wrapText="1"/>
    </xf>
    <xf numFmtId="178" fontId="85" fillId="29" borderId="23" xfId="0" applyNumberFormat="1" applyFont="1" applyFill="1" applyBorder="1" applyAlignment="1">
      <alignment horizontal="center" vertical="center" wrapText="1"/>
    </xf>
    <xf numFmtId="177" fontId="80" fillId="29" borderId="3" xfId="0" applyNumberFormat="1" applyFont="1" applyFill="1" applyBorder="1" applyAlignment="1">
      <alignment horizontal="center" vertical="center" wrapText="1"/>
    </xf>
    <xf numFmtId="177" fontId="85" fillId="29" borderId="3" xfId="0" applyNumberFormat="1" applyFont="1" applyFill="1" applyBorder="1" applyAlignment="1">
      <alignment horizontal="center" vertical="center" wrapText="1"/>
    </xf>
    <xf numFmtId="170" fontId="85" fillId="29" borderId="3" xfId="0" applyNumberFormat="1" applyFont="1" applyFill="1" applyBorder="1" applyAlignment="1">
      <alignment horizontal="right" vertical="center" wrapText="1"/>
    </xf>
    <xf numFmtId="177" fontId="85" fillId="29" borderId="23" xfId="0" applyNumberFormat="1" applyFont="1" applyFill="1" applyBorder="1" applyAlignment="1">
      <alignment horizontal="center" vertical="center" wrapText="1"/>
    </xf>
    <xf numFmtId="170" fontId="85" fillId="29" borderId="0" xfId="0" applyNumberFormat="1" applyFont="1" applyFill="1" applyBorder="1" applyAlignment="1">
      <alignment horizontal="center" vertical="center" wrapText="1"/>
    </xf>
    <xf numFmtId="170" fontId="86" fillId="29" borderId="0" xfId="0" applyNumberFormat="1" applyFont="1" applyFill="1" applyBorder="1" applyAlignment="1">
      <alignment vertical="center"/>
    </xf>
    <xf numFmtId="0" fontId="63" fillId="29" borderId="15" xfId="0" applyFont="1" applyFill="1" applyBorder="1" applyAlignment="1">
      <alignment horizontal="center" vertical="center" wrapText="1"/>
    </xf>
    <xf numFmtId="169" fontId="65" fillId="29" borderId="0" xfId="0" applyNumberFormat="1" applyFont="1" applyFill="1" applyBorder="1" applyAlignment="1">
      <alignment vertical="center"/>
    </xf>
    <xf numFmtId="0" fontId="62" fillId="29" borderId="3" xfId="0" applyFont="1" applyFill="1" applyBorder="1" applyAlignment="1">
      <alignment horizontal="center" vertical="center" wrapText="1"/>
    </xf>
    <xf numFmtId="0" fontId="62" fillId="29" borderId="0" xfId="0" applyFont="1" applyFill="1" applyBorder="1" applyAlignment="1">
      <alignment horizontal="center" vertical="center"/>
    </xf>
    <xf numFmtId="0" fontId="62" fillId="29" borderId="0" xfId="0" applyFont="1" applyFill="1" applyAlignment="1">
      <alignment horizontal="center" vertical="center"/>
    </xf>
    <xf numFmtId="0" fontId="63" fillId="29" borderId="15" xfId="0" applyFont="1" applyFill="1" applyBorder="1" applyAlignment="1">
      <alignment horizontal="center" vertical="center" wrapText="1"/>
    </xf>
    <xf numFmtId="0" fontId="69" fillId="29" borderId="0" xfId="0" applyFont="1" applyFill="1" applyBorder="1" applyAlignment="1">
      <alignment horizontal="center" wrapText="1"/>
    </xf>
    <xf numFmtId="0" fontId="65" fillId="29" borderId="0" xfId="0" applyFont="1" applyFill="1" applyBorder="1" applyAlignment="1">
      <alignment horizontal="left" vertical="center"/>
    </xf>
    <xf numFmtId="0" fontId="65" fillId="29" borderId="0" xfId="0" applyFont="1" applyFill="1" applyBorder="1" applyAlignment="1">
      <alignment horizontal="center" vertical="center"/>
    </xf>
    <xf numFmtId="0" fontId="65" fillId="0" borderId="0" xfId="0" applyFont="1" applyFill="1" applyBorder="1" applyAlignment="1">
      <alignment vertical="center"/>
    </xf>
    <xf numFmtId="0" fontId="63" fillId="0" borderId="0" xfId="0" applyFont="1" applyFill="1" applyBorder="1" applyAlignment="1">
      <alignment horizontal="center" vertical="center" wrapText="1"/>
    </xf>
    <xf numFmtId="0" fontId="65" fillId="0" borderId="0" xfId="0" applyFont="1" applyFill="1" applyBorder="1" applyAlignment="1">
      <alignment horizontal="center" vertical="center" wrapText="1"/>
    </xf>
    <xf numFmtId="0" fontId="65" fillId="22" borderId="17" xfId="0" applyFont="1" applyFill="1" applyBorder="1" applyAlignment="1">
      <alignment horizontal="center" vertical="center"/>
    </xf>
    <xf numFmtId="0" fontId="65" fillId="22" borderId="17" xfId="0" applyFont="1" applyFill="1" applyBorder="1" applyAlignment="1">
      <alignment horizontal="center" vertical="center" wrapText="1"/>
    </xf>
    <xf numFmtId="0" fontId="65" fillId="0" borderId="17" xfId="0" applyFont="1" applyFill="1" applyBorder="1" applyAlignment="1">
      <alignment horizontal="center" vertical="center" wrapText="1"/>
    </xf>
    <xf numFmtId="0" fontId="65" fillId="22" borderId="17" xfId="0" applyFont="1" applyFill="1" applyBorder="1" applyAlignment="1">
      <alignment horizontal="center" vertical="center" wrapText="1" shrinkToFit="1"/>
    </xf>
    <xf numFmtId="0" fontId="65" fillId="22" borderId="16" xfId="0" applyFont="1" applyFill="1" applyBorder="1" applyAlignment="1">
      <alignment horizontal="center" vertical="center" wrapText="1"/>
    </xf>
    <xf numFmtId="0" fontId="65" fillId="22" borderId="3" xfId="0" applyFont="1" applyFill="1" applyBorder="1" applyAlignment="1">
      <alignment horizontal="center" vertical="center"/>
    </xf>
    <xf numFmtId="0" fontId="65" fillId="22" borderId="3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center" vertical="center"/>
    </xf>
    <xf numFmtId="0" fontId="87" fillId="22" borderId="3" xfId="0" applyFont="1" applyFill="1" applyBorder="1" applyAlignment="1">
      <alignment horizontal="left" vertical="center" wrapText="1"/>
    </xf>
    <xf numFmtId="0" fontId="88" fillId="22" borderId="3" xfId="0" applyFont="1" applyFill="1" applyBorder="1" applyAlignment="1">
      <alignment horizontal="center" vertical="center" wrapText="1"/>
    </xf>
    <xf numFmtId="178" fontId="88" fillId="29" borderId="3" xfId="0" applyNumberFormat="1" applyFont="1" applyFill="1" applyBorder="1" applyAlignment="1">
      <alignment horizontal="center" vertical="center" wrapText="1"/>
    </xf>
    <xf numFmtId="178" fontId="88" fillId="29" borderId="3" xfId="0" applyNumberFormat="1" applyFont="1" applyFill="1" applyBorder="1" applyAlignment="1">
      <alignment vertical="center"/>
    </xf>
    <xf numFmtId="0" fontId="89" fillId="29" borderId="3" xfId="0" applyFont="1" applyFill="1" applyBorder="1" applyAlignment="1">
      <alignment horizontal="left" vertical="center" wrapText="1"/>
    </xf>
    <xf numFmtId="0" fontId="89" fillId="22" borderId="3" xfId="0" applyFont="1" applyFill="1" applyBorder="1" applyAlignment="1">
      <alignment horizontal="center" vertical="center" wrapText="1"/>
    </xf>
    <xf numFmtId="178" fontId="90" fillId="29" borderId="3" xfId="0" applyNumberFormat="1" applyFont="1" applyFill="1" applyBorder="1" applyAlignment="1">
      <alignment horizontal="center" vertical="center" wrapText="1"/>
    </xf>
    <xf numFmtId="178" fontId="90" fillId="29" borderId="3" xfId="0" applyNumberFormat="1" applyFont="1" applyFill="1" applyBorder="1" applyAlignment="1">
      <alignment vertical="center"/>
    </xf>
    <xf numFmtId="0" fontId="88" fillId="29" borderId="3" xfId="0" applyFont="1" applyFill="1" applyBorder="1" applyAlignment="1">
      <alignment horizontal="left" vertical="center" wrapText="1"/>
    </xf>
    <xf numFmtId="0" fontId="88" fillId="22" borderId="3" xfId="0" quotePrefix="1" applyFont="1" applyFill="1" applyBorder="1" applyAlignment="1">
      <alignment horizontal="center" vertical="center"/>
    </xf>
    <xf numFmtId="178" fontId="89" fillId="29" borderId="3" xfId="0" applyNumberFormat="1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vertical="center"/>
    </xf>
    <xf numFmtId="0" fontId="65" fillId="0" borderId="0" xfId="0" applyFont="1" applyBorder="1" applyAlignment="1">
      <alignment horizontal="left" vertical="center"/>
    </xf>
    <xf numFmtId="0" fontId="63" fillId="22" borderId="0" xfId="0" quotePrefix="1" applyFont="1" applyFill="1" applyBorder="1" applyAlignment="1">
      <alignment horizontal="center" vertical="center"/>
    </xf>
    <xf numFmtId="0" fontId="65" fillId="22" borderId="0" xfId="0" applyFont="1" applyFill="1" applyBorder="1" applyAlignment="1">
      <alignment horizontal="left" vertical="center" wrapText="1"/>
    </xf>
    <xf numFmtId="0" fontId="65" fillId="22" borderId="0" xfId="0" applyFont="1" applyFill="1" applyBorder="1" applyAlignment="1">
      <alignment horizontal="center" vertical="center"/>
    </xf>
    <xf numFmtId="170" fontId="65" fillId="22" borderId="0" xfId="0" applyNumberFormat="1" applyFont="1" applyFill="1" applyBorder="1" applyAlignment="1">
      <alignment horizontal="center" vertical="center" wrapText="1"/>
    </xf>
    <xf numFmtId="170" fontId="65" fillId="22" borderId="0" xfId="0" applyNumberFormat="1" applyFont="1" applyFill="1" applyBorder="1" applyAlignment="1">
      <alignment horizontal="right" vertical="center" wrapText="1"/>
    </xf>
    <xf numFmtId="0" fontId="65" fillId="0" borderId="0" xfId="0" applyFont="1" applyFill="1" applyBorder="1" applyAlignment="1">
      <alignment horizontal="center" vertical="center"/>
    </xf>
    <xf numFmtId="170" fontId="65" fillId="0" borderId="0" xfId="0" applyNumberFormat="1" applyFont="1" applyFill="1" applyBorder="1" applyAlignment="1">
      <alignment horizontal="center" vertical="center" wrapText="1"/>
    </xf>
    <xf numFmtId="170" fontId="65" fillId="0" borderId="0" xfId="0" applyNumberFormat="1" applyFont="1" applyFill="1" applyBorder="1" applyAlignment="1">
      <alignment horizontal="right" vertical="center" wrapText="1"/>
    </xf>
    <xf numFmtId="0" fontId="65" fillId="0" borderId="0" xfId="0" applyFont="1" applyFill="1" applyBorder="1" applyAlignment="1">
      <alignment horizontal="left" vertical="center" wrapText="1"/>
    </xf>
    <xf numFmtId="0" fontId="65" fillId="0" borderId="0" xfId="0" applyFont="1" applyFill="1" applyBorder="1" applyAlignment="1">
      <alignment vertical="center" wrapText="1"/>
    </xf>
    <xf numFmtId="0" fontId="87" fillId="22" borderId="3" xfId="0" applyFont="1" applyFill="1" applyBorder="1" applyAlignment="1">
      <alignment horizontal="center" vertical="center" wrapText="1"/>
    </xf>
    <xf numFmtId="179" fontId="63" fillId="29" borderId="0" xfId="0" applyNumberFormat="1" applyFont="1" applyFill="1" applyBorder="1" applyAlignment="1">
      <alignment horizontal="right" vertical="center"/>
    </xf>
    <xf numFmtId="0" fontId="63" fillId="29" borderId="0" xfId="0" applyFont="1" applyFill="1" applyBorder="1" applyAlignment="1">
      <alignment horizontal="right" vertical="center"/>
    </xf>
    <xf numFmtId="178" fontId="77" fillId="29" borderId="3" xfId="0" applyNumberFormat="1" applyFont="1" applyFill="1" applyBorder="1" applyAlignment="1">
      <alignment horizontal="center" vertical="center" wrapText="1"/>
    </xf>
    <xf numFmtId="0" fontId="62" fillId="29" borderId="3" xfId="0" applyFont="1" applyFill="1" applyBorder="1" applyAlignment="1">
      <alignment horizontal="center" vertical="center" wrapText="1"/>
    </xf>
    <xf numFmtId="0" fontId="62" fillId="29" borderId="18" xfId="0" applyFont="1" applyFill="1" applyBorder="1" applyAlignment="1">
      <alignment horizontal="center" vertical="center" wrapText="1"/>
    </xf>
    <xf numFmtId="0" fontId="66" fillId="29" borderId="30" xfId="0" applyFont="1" applyFill="1" applyBorder="1" applyAlignment="1" applyProtection="1">
      <alignment horizontal="left" vertical="center" wrapText="1"/>
      <protection locked="0"/>
    </xf>
    <xf numFmtId="0" fontId="66" fillId="29" borderId="17" xfId="0" applyFont="1" applyFill="1" applyBorder="1" applyAlignment="1">
      <alignment horizontal="center" vertical="center" wrapText="1"/>
    </xf>
    <xf numFmtId="178" fontId="66" fillId="29" borderId="17" xfId="0" applyNumberFormat="1" applyFont="1" applyFill="1" applyBorder="1" applyAlignment="1">
      <alignment horizontal="center" vertical="center" wrapText="1"/>
    </xf>
    <xf numFmtId="178" fontId="80" fillId="29" borderId="17" xfId="0" applyNumberFormat="1" applyFont="1" applyFill="1" applyBorder="1" applyAlignment="1">
      <alignment horizontal="center" vertical="center" wrapText="1"/>
    </xf>
    <xf numFmtId="178" fontId="66" fillId="29" borderId="31" xfId="0" applyNumberFormat="1" applyFont="1" applyFill="1" applyBorder="1" applyAlignment="1">
      <alignment horizontal="center" vertical="center" wrapText="1"/>
    </xf>
    <xf numFmtId="0" fontId="80" fillId="29" borderId="27" xfId="0" applyFont="1" applyFill="1" applyBorder="1" applyAlignment="1" applyProtection="1">
      <alignment horizontal="center" vertical="center" wrapText="1"/>
      <protection locked="0"/>
    </xf>
    <xf numFmtId="0" fontId="80" fillId="29" borderId="24" xfId="0" applyFont="1" applyFill="1" applyBorder="1" applyAlignment="1">
      <alignment horizontal="center" vertical="center" wrapText="1"/>
    </xf>
    <xf numFmtId="180" fontId="80" fillId="29" borderId="24" xfId="0" applyNumberFormat="1" applyFont="1" applyFill="1" applyBorder="1" applyAlignment="1">
      <alignment horizontal="center" vertical="center" wrapText="1"/>
    </xf>
    <xf numFmtId="180" fontId="80" fillId="29" borderId="25" xfId="0" applyNumberFormat="1" applyFont="1" applyFill="1" applyBorder="1" applyAlignment="1">
      <alignment horizontal="center" vertical="center" wrapText="1"/>
    </xf>
    <xf numFmtId="0" fontId="80" fillId="29" borderId="20" xfId="182" applyFont="1" applyFill="1" applyBorder="1" applyAlignment="1">
      <alignment vertical="center" wrapText="1"/>
      <protection locked="0"/>
    </xf>
    <xf numFmtId="180" fontId="80" fillId="29" borderId="3" xfId="0" applyNumberFormat="1" applyFont="1" applyFill="1" applyBorder="1" applyAlignment="1">
      <alignment horizontal="center" vertical="center" wrapText="1"/>
    </xf>
    <xf numFmtId="180" fontId="80" fillId="29" borderId="12" xfId="0" applyNumberFormat="1" applyFont="1" applyFill="1" applyBorder="1" applyAlignment="1">
      <alignment horizontal="center" vertical="center" wrapText="1"/>
    </xf>
    <xf numFmtId="0" fontId="85" fillId="29" borderId="20" xfId="182" applyFont="1" applyFill="1" applyBorder="1" applyAlignment="1">
      <alignment vertical="center" wrapText="1"/>
      <protection locked="0"/>
    </xf>
    <xf numFmtId="0" fontId="85" fillId="29" borderId="3" xfId="0" applyFont="1" applyFill="1" applyBorder="1" applyAlignment="1">
      <alignment horizontal="center" vertical="center"/>
    </xf>
    <xf numFmtId="180" fontId="85" fillId="29" borderId="3" xfId="0" applyNumberFormat="1" applyFont="1" applyFill="1" applyBorder="1" applyAlignment="1">
      <alignment horizontal="center" vertical="center" wrapText="1"/>
    </xf>
    <xf numFmtId="180" fontId="85" fillId="29" borderId="12" xfId="0" applyNumberFormat="1" applyFont="1" applyFill="1" applyBorder="1" applyAlignment="1">
      <alignment horizontal="center" vertical="center" wrapText="1"/>
    </xf>
    <xf numFmtId="0" fontId="85" fillId="29" borderId="20" xfId="0" applyFont="1" applyFill="1" applyBorder="1" applyAlignment="1">
      <alignment horizontal="left" vertical="center" wrapText="1"/>
    </xf>
    <xf numFmtId="0" fontId="86" fillId="29" borderId="20" xfId="0" applyFont="1" applyFill="1" applyBorder="1" applyAlignment="1">
      <alignment horizontal="left" vertical="center" wrapText="1"/>
    </xf>
    <xf numFmtId="0" fontId="86" fillId="29" borderId="3" xfId="0" applyFont="1" applyFill="1" applyBorder="1" applyAlignment="1">
      <alignment horizontal="center" vertical="center"/>
    </xf>
    <xf numFmtId="180" fontId="86" fillId="29" borderId="3" xfId="0" applyNumberFormat="1" applyFont="1" applyFill="1" applyBorder="1" applyAlignment="1">
      <alignment horizontal="center" vertical="center" wrapText="1"/>
    </xf>
    <xf numFmtId="0" fontId="80" fillId="29" borderId="30" xfId="0" applyFont="1" applyFill="1" applyBorder="1" applyAlignment="1" applyProtection="1">
      <alignment horizontal="left" vertical="center" wrapText="1"/>
      <protection locked="0"/>
    </xf>
    <xf numFmtId="0" fontId="80" fillId="29" borderId="17" xfId="0" applyFont="1" applyFill="1" applyBorder="1" applyAlignment="1">
      <alignment horizontal="center" vertical="center" wrapText="1"/>
    </xf>
    <xf numFmtId="180" fontId="80" fillId="29" borderId="17" xfId="0" applyNumberFormat="1" applyFont="1" applyFill="1" applyBorder="1" applyAlignment="1">
      <alignment horizontal="center" vertical="center" wrapText="1"/>
    </xf>
    <xf numFmtId="0" fontId="80" fillId="29" borderId="30" xfId="0" applyFont="1" applyFill="1" applyBorder="1" applyAlignment="1" applyProtection="1">
      <alignment horizontal="center" vertical="center" wrapText="1"/>
      <protection locked="0"/>
    </xf>
    <xf numFmtId="180" fontId="85" fillId="29" borderId="17" xfId="0" applyNumberFormat="1" applyFont="1" applyFill="1" applyBorder="1" applyAlignment="1">
      <alignment horizontal="center" vertical="center" wrapText="1"/>
    </xf>
    <xf numFmtId="0" fontId="85" fillId="29" borderId="30" xfId="0" applyFont="1" applyFill="1" applyBorder="1" applyAlignment="1" applyProtection="1">
      <alignment horizontal="left" vertical="center" wrapText="1"/>
      <protection locked="0"/>
    </xf>
    <xf numFmtId="0" fontId="84" fillId="29" borderId="20" xfId="0" applyFont="1" applyFill="1" applyBorder="1" applyAlignment="1">
      <alignment horizontal="left" vertical="center" wrapText="1"/>
    </xf>
    <xf numFmtId="0" fontId="84" fillId="29" borderId="17" xfId="0" applyFont="1" applyFill="1" applyBorder="1" applyAlignment="1">
      <alignment horizontal="center" vertical="center" wrapText="1"/>
    </xf>
    <xf numFmtId="180" fontId="84" fillId="29" borderId="17" xfId="0" applyNumberFormat="1" applyFont="1" applyFill="1" applyBorder="1" applyAlignment="1">
      <alignment horizontal="center" vertical="center" wrapText="1"/>
    </xf>
    <xf numFmtId="0" fontId="85" fillId="29" borderId="21" xfId="0" applyFont="1" applyFill="1" applyBorder="1" applyAlignment="1">
      <alignment horizontal="left" vertical="center" wrapText="1"/>
    </xf>
    <xf numFmtId="0" fontId="80" fillId="29" borderId="20" xfId="0" applyFont="1" applyFill="1" applyBorder="1" applyAlignment="1">
      <alignment horizontal="left" vertical="center" wrapText="1"/>
    </xf>
    <xf numFmtId="0" fontId="80" fillId="29" borderId="20" xfId="0" applyFont="1" applyFill="1" applyBorder="1" applyAlignment="1">
      <alignment horizontal="center" vertical="center" wrapText="1"/>
    </xf>
    <xf numFmtId="0" fontId="80" fillId="29" borderId="21" xfId="0" applyFont="1" applyFill="1" applyBorder="1" applyAlignment="1">
      <alignment horizontal="left" vertical="center" wrapText="1"/>
    </xf>
    <xf numFmtId="180" fontId="80" fillId="29" borderId="31" xfId="0" applyNumberFormat="1" applyFont="1" applyFill="1" applyBorder="1" applyAlignment="1">
      <alignment horizontal="center" vertical="center" wrapText="1"/>
    </xf>
    <xf numFmtId="0" fontId="80" fillId="29" borderId="22" xfId="0" applyFont="1" applyFill="1" applyBorder="1" applyAlignment="1">
      <alignment horizontal="left" vertical="center" wrapText="1"/>
    </xf>
    <xf numFmtId="0" fontId="80" fillId="29" borderId="23" xfId="0" applyFont="1" applyFill="1" applyBorder="1" applyAlignment="1">
      <alignment horizontal="center" vertical="center" wrapText="1"/>
    </xf>
    <xf numFmtId="180" fontId="80" fillId="29" borderId="23" xfId="0" applyNumberFormat="1" applyFont="1" applyFill="1" applyBorder="1" applyAlignment="1">
      <alignment horizontal="center" vertical="center" wrapText="1"/>
    </xf>
    <xf numFmtId="180" fontId="85" fillId="29" borderId="23" xfId="0" applyNumberFormat="1" applyFont="1" applyFill="1" applyBorder="1" applyAlignment="1">
      <alignment horizontal="center" vertical="center" wrapText="1"/>
    </xf>
    <xf numFmtId="180" fontId="80" fillId="29" borderId="26" xfId="0" applyNumberFormat="1" applyFont="1" applyFill="1" applyBorder="1" applyAlignment="1">
      <alignment horizontal="center" vertical="center" wrapText="1"/>
    </xf>
    <xf numFmtId="0" fontId="62" fillId="29" borderId="12" xfId="0" applyFont="1" applyFill="1" applyBorder="1" applyAlignment="1">
      <alignment horizontal="center" vertical="center" wrapText="1" shrinkToFit="1"/>
    </xf>
    <xf numFmtId="177" fontId="66" fillId="29" borderId="12" xfId="0" applyNumberFormat="1" applyFont="1" applyFill="1" applyBorder="1" applyAlignment="1">
      <alignment horizontal="center" vertical="center" wrapText="1"/>
    </xf>
    <xf numFmtId="177" fontId="62" fillId="29" borderId="12" xfId="0" applyNumberFormat="1" applyFont="1" applyFill="1" applyBorder="1" applyAlignment="1">
      <alignment horizontal="center" vertical="center" wrapText="1"/>
    </xf>
    <xf numFmtId="177" fontId="62" fillId="29" borderId="26" xfId="0" applyNumberFormat="1" applyFont="1" applyFill="1" applyBorder="1" applyAlignment="1">
      <alignment horizontal="center" vertical="center" wrapText="1"/>
    </xf>
    <xf numFmtId="0" fontId="67" fillId="29" borderId="21" xfId="0" applyFont="1" applyFill="1" applyBorder="1" applyAlignment="1">
      <alignment horizontal="center" vertical="center"/>
    </xf>
    <xf numFmtId="0" fontId="67" fillId="29" borderId="18" xfId="0" applyFont="1" applyFill="1" applyBorder="1" applyAlignment="1">
      <alignment horizontal="center" vertical="center"/>
    </xf>
    <xf numFmtId="0" fontId="66" fillId="29" borderId="21" xfId="245" applyFont="1" applyFill="1" applyBorder="1" applyAlignment="1">
      <alignment horizontal="left" vertical="center" wrapText="1"/>
    </xf>
    <xf numFmtId="0" fontId="66" fillId="29" borderId="18" xfId="0" applyFont="1" applyFill="1" applyBorder="1" applyAlignment="1">
      <alignment horizontal="center" vertical="center"/>
    </xf>
    <xf numFmtId="178" fontId="66" fillId="29" borderId="18" xfId="0" applyNumberFormat="1" applyFont="1" applyFill="1" applyBorder="1" applyAlignment="1">
      <alignment horizontal="center" vertical="center" wrapText="1"/>
    </xf>
    <xf numFmtId="178" fontId="80" fillId="29" borderId="18" xfId="0" applyNumberFormat="1" applyFont="1" applyFill="1" applyBorder="1" applyAlignment="1">
      <alignment horizontal="center" vertical="center" wrapText="1"/>
    </xf>
    <xf numFmtId="178" fontId="66" fillId="29" borderId="39" xfId="0" applyNumberFormat="1" applyFont="1" applyFill="1" applyBorder="1" applyAlignment="1">
      <alignment horizontal="center" vertical="center" wrapText="1"/>
    </xf>
    <xf numFmtId="178" fontId="62" fillId="29" borderId="18" xfId="0" applyNumberFormat="1" applyFont="1" applyFill="1" applyBorder="1" applyAlignment="1">
      <alignment horizontal="center" vertical="center" wrapText="1"/>
    </xf>
    <xf numFmtId="178" fontId="85" fillId="29" borderId="18" xfId="0" applyNumberFormat="1" applyFont="1" applyFill="1" applyBorder="1" applyAlignment="1">
      <alignment horizontal="center" vertical="center" wrapText="1"/>
    </xf>
    <xf numFmtId="170" fontId="62" fillId="29" borderId="18" xfId="0" applyNumberFormat="1" applyFont="1" applyFill="1" applyBorder="1" applyAlignment="1">
      <alignment horizontal="right" vertical="center" wrapText="1"/>
    </xf>
    <xf numFmtId="170" fontId="62" fillId="29" borderId="39" xfId="0" applyNumberFormat="1" applyFont="1" applyFill="1" applyBorder="1" applyAlignment="1">
      <alignment horizontal="right" vertical="center" wrapText="1"/>
    </xf>
    <xf numFmtId="178" fontId="80" fillId="29" borderId="12" xfId="0" applyNumberFormat="1" applyFont="1" applyFill="1" applyBorder="1" applyAlignment="1">
      <alignment horizontal="center" vertical="center" wrapText="1"/>
    </xf>
    <xf numFmtId="178" fontId="91" fillId="29" borderId="12" xfId="0" applyNumberFormat="1" applyFont="1" applyFill="1" applyBorder="1" applyAlignment="1">
      <alignment horizontal="center" vertical="center" wrapText="1"/>
    </xf>
    <xf numFmtId="0" fontId="66" fillId="29" borderId="21" xfId="182" applyFont="1" applyFill="1" applyBorder="1" applyAlignment="1">
      <alignment vertical="center" wrapText="1"/>
      <protection locked="0"/>
    </xf>
    <xf numFmtId="0" fontId="85" fillId="29" borderId="3" xfId="0" applyFont="1" applyFill="1" applyBorder="1" applyAlignment="1">
      <alignment horizontal="center" vertical="center" wrapText="1"/>
    </xf>
    <xf numFmtId="0" fontId="75" fillId="22" borderId="3" xfId="0" applyFont="1" applyFill="1" applyBorder="1" applyAlignment="1">
      <alignment horizontal="left" vertical="center"/>
    </xf>
    <xf numFmtId="180" fontId="66" fillId="29" borderId="0" xfId="0" applyNumberFormat="1" applyFont="1" applyFill="1" applyBorder="1" applyAlignment="1">
      <alignment horizontal="center" vertical="center"/>
    </xf>
    <xf numFmtId="178" fontId="89" fillId="29" borderId="3" xfId="0" applyNumberFormat="1" applyFont="1" applyFill="1" applyBorder="1" applyAlignment="1">
      <alignment vertical="center"/>
    </xf>
    <xf numFmtId="0" fontId="89" fillId="22" borderId="3" xfId="0" quotePrefix="1" applyFont="1" applyFill="1" applyBorder="1" applyAlignment="1">
      <alignment horizontal="center" vertical="center"/>
    </xf>
    <xf numFmtId="0" fontId="92" fillId="29" borderId="17" xfId="0" applyFont="1" applyFill="1" applyBorder="1" applyAlignment="1">
      <alignment horizontal="left" vertical="center" wrapText="1"/>
    </xf>
    <xf numFmtId="0" fontId="92" fillId="29" borderId="3" xfId="0" applyFont="1" applyFill="1" applyBorder="1" applyAlignment="1">
      <alignment horizontal="left" vertical="center" wrapText="1"/>
    </xf>
    <xf numFmtId="178" fontId="93" fillId="29" borderId="3" xfId="0" applyNumberFormat="1" applyFont="1" applyFill="1" applyBorder="1" applyAlignment="1">
      <alignment vertical="center"/>
    </xf>
    <xf numFmtId="178" fontId="87" fillId="29" borderId="3" xfId="0" applyNumberFormat="1" applyFont="1" applyFill="1" applyBorder="1" applyAlignment="1">
      <alignment horizontal="center" vertical="center" wrapText="1"/>
    </xf>
    <xf numFmtId="178" fontId="87" fillId="29" borderId="3" xfId="0" applyNumberFormat="1" applyFont="1" applyFill="1" applyBorder="1" applyAlignment="1">
      <alignment vertical="center"/>
    </xf>
    <xf numFmtId="0" fontId="87" fillId="29" borderId="3" xfId="0" applyFont="1" applyFill="1" applyBorder="1" applyAlignment="1">
      <alignment horizontal="left" vertical="center" wrapText="1"/>
    </xf>
    <xf numFmtId="178" fontId="74" fillId="29" borderId="3" xfId="0" applyNumberFormat="1" applyFont="1" applyFill="1" applyBorder="1" applyAlignment="1">
      <alignment vertical="center"/>
    </xf>
    <xf numFmtId="0" fontId="74" fillId="29" borderId="3" xfId="0" quotePrefix="1" applyFont="1" applyFill="1" applyBorder="1" applyAlignment="1">
      <alignment horizontal="center" vertical="center"/>
    </xf>
    <xf numFmtId="0" fontId="65" fillId="29" borderId="3" xfId="0" applyFont="1" applyFill="1" applyBorder="1" applyAlignment="1">
      <alignment horizontal="center" vertical="center" wrapText="1" shrinkToFit="1"/>
    </xf>
    <xf numFmtId="0" fontId="65" fillId="29" borderId="0" xfId="0" applyFont="1" applyFill="1" applyBorder="1" applyAlignment="1">
      <alignment horizontal="left" vertical="center"/>
    </xf>
    <xf numFmtId="0" fontId="65" fillId="29" borderId="0" xfId="0" applyFont="1" applyFill="1" applyBorder="1" applyAlignment="1">
      <alignment horizontal="center" vertical="center" wrapText="1"/>
    </xf>
    <xf numFmtId="0" fontId="65" fillId="29" borderId="0" xfId="0" applyFont="1" applyFill="1" applyBorder="1" applyAlignment="1">
      <alignment horizontal="center" vertical="center"/>
    </xf>
    <xf numFmtId="170" fontId="65" fillId="29" borderId="0" xfId="0" applyNumberFormat="1" applyFont="1" applyFill="1" applyBorder="1" applyAlignment="1">
      <alignment horizontal="center" vertical="center" wrapText="1"/>
    </xf>
    <xf numFmtId="0" fontId="75" fillId="29" borderId="15" xfId="0" applyFont="1" applyFill="1" applyBorder="1" applyAlignment="1">
      <alignment horizontal="left" vertical="center" wrapText="1"/>
    </xf>
    <xf numFmtId="0" fontId="75" fillId="29" borderId="16" xfId="0" applyFont="1" applyFill="1" applyBorder="1" applyAlignment="1">
      <alignment horizontal="left" vertical="center" wrapText="1"/>
    </xf>
    <xf numFmtId="0" fontId="62" fillId="29" borderId="0" xfId="0" applyFont="1" applyFill="1" applyBorder="1" applyAlignment="1">
      <alignment horizontal="center"/>
    </xf>
    <xf numFmtId="0" fontId="65" fillId="29" borderId="14" xfId="0" applyFont="1" applyFill="1" applyBorder="1" applyAlignment="1">
      <alignment horizontal="left" vertical="center"/>
    </xf>
    <xf numFmtId="0" fontId="65" fillId="29" borderId="16" xfId="0" applyFont="1" applyFill="1" applyBorder="1" applyAlignment="1">
      <alignment horizontal="left" vertical="center"/>
    </xf>
    <xf numFmtId="178" fontId="94" fillId="29" borderId="12" xfId="0" applyNumberFormat="1" applyFont="1" applyFill="1" applyBorder="1" applyAlignment="1">
      <alignment horizontal="center" vertical="center" wrapText="1"/>
    </xf>
    <xf numFmtId="180" fontId="94" fillId="29" borderId="12" xfId="0" applyNumberFormat="1" applyFont="1" applyFill="1" applyBorder="1" applyAlignment="1">
      <alignment horizontal="center" vertical="center" wrapText="1"/>
    </xf>
    <xf numFmtId="0" fontId="80" fillId="29" borderId="3" xfId="0" applyFont="1" applyFill="1" applyBorder="1" applyAlignment="1">
      <alignment horizontal="left" vertical="center" wrapText="1"/>
    </xf>
    <xf numFmtId="0" fontId="85" fillId="29" borderId="3" xfId="0" applyFont="1" applyFill="1" applyBorder="1" applyAlignment="1">
      <alignment horizontal="left" vertical="center" wrapText="1"/>
    </xf>
    <xf numFmtId="4" fontId="65" fillId="29" borderId="0" xfId="0" applyNumberFormat="1" applyFont="1" applyFill="1" applyAlignment="1">
      <alignment horizontal="left"/>
    </xf>
    <xf numFmtId="0" fontId="66" fillId="29" borderId="15" xfId="0" applyFont="1" applyFill="1" applyBorder="1" applyAlignment="1">
      <alignment horizontal="center" vertical="center" wrapText="1"/>
    </xf>
    <xf numFmtId="178" fontId="66" fillId="29" borderId="3" xfId="0" applyNumberFormat="1" applyFont="1" applyFill="1" applyBorder="1" applyAlignment="1">
      <alignment horizontal="center" vertical="center"/>
    </xf>
    <xf numFmtId="178" fontId="72" fillId="29" borderId="3" xfId="0" applyNumberFormat="1" applyFont="1" applyFill="1" applyBorder="1" applyAlignment="1">
      <alignment horizontal="center" vertical="center" wrapText="1"/>
    </xf>
    <xf numFmtId="178" fontId="91" fillId="29" borderId="3" xfId="0" applyNumberFormat="1" applyFont="1" applyFill="1" applyBorder="1" applyAlignment="1">
      <alignment horizontal="center" vertical="center" wrapText="1"/>
    </xf>
    <xf numFmtId="178" fontId="94" fillId="29" borderId="3" xfId="0" applyNumberFormat="1" applyFont="1" applyFill="1" applyBorder="1" applyAlignment="1">
      <alignment horizontal="center" vertical="center" wrapText="1"/>
    </xf>
    <xf numFmtId="178" fontId="95" fillId="29" borderId="3" xfId="0" applyNumberFormat="1" applyFont="1" applyFill="1" applyBorder="1" applyAlignment="1">
      <alignment horizontal="center" vertical="center" wrapText="1"/>
    </xf>
    <xf numFmtId="178" fontId="96" fillId="29" borderId="3" xfId="0" applyNumberFormat="1" applyFont="1" applyFill="1" applyBorder="1" applyAlignment="1">
      <alignment horizontal="center" vertical="center"/>
    </xf>
    <xf numFmtId="178" fontId="97" fillId="29" borderId="3" xfId="0" applyNumberFormat="1" applyFont="1" applyFill="1" applyBorder="1" applyAlignment="1">
      <alignment horizontal="center" vertical="center"/>
    </xf>
    <xf numFmtId="0" fontId="99" fillId="29" borderId="0" xfId="0" applyFont="1" applyFill="1" applyBorder="1" applyAlignment="1">
      <alignment horizontal="center" wrapText="1"/>
    </xf>
    <xf numFmtId="0" fontId="63" fillId="29" borderId="3" xfId="0" applyFont="1" applyFill="1" applyBorder="1" applyAlignment="1">
      <alignment horizontal="center" vertical="center"/>
    </xf>
    <xf numFmtId="0" fontId="76" fillId="29" borderId="3" xfId="0" applyFont="1" applyFill="1" applyBorder="1" applyAlignment="1">
      <alignment horizontal="left" vertical="center" wrapText="1"/>
    </xf>
    <xf numFmtId="0" fontId="76" fillId="29" borderId="3" xfId="0" applyFont="1" applyFill="1" applyBorder="1" applyAlignment="1">
      <alignment horizontal="center" vertical="center"/>
    </xf>
    <xf numFmtId="0" fontId="63" fillId="29" borderId="3" xfId="0" applyFont="1" applyFill="1" applyBorder="1" applyAlignment="1">
      <alignment horizontal="left" vertical="center"/>
    </xf>
    <xf numFmtId="49" fontId="76" fillId="29" borderId="3" xfId="0" applyNumberFormat="1" applyFont="1" applyFill="1" applyBorder="1" applyAlignment="1">
      <alignment horizontal="center" vertical="center"/>
    </xf>
    <xf numFmtId="0" fontId="76" fillId="29" borderId="28" xfId="0" applyFont="1" applyFill="1" applyBorder="1" applyAlignment="1">
      <alignment horizontal="left" vertical="center" wrapText="1"/>
    </xf>
    <xf numFmtId="0" fontId="63" fillId="29" borderId="18" xfId="0" applyFont="1" applyFill="1" applyBorder="1" applyAlignment="1">
      <alignment horizontal="left" vertical="center"/>
    </xf>
    <xf numFmtId="0" fontId="76" fillId="29" borderId="3" xfId="0" applyFont="1" applyFill="1" applyBorder="1" applyAlignment="1">
      <alignment vertical="center" wrapText="1"/>
    </xf>
    <xf numFmtId="0" fontId="76" fillId="29" borderId="17" xfId="0" applyFont="1" applyFill="1" applyBorder="1" applyAlignment="1">
      <alignment horizontal="left" vertical="center" wrapText="1"/>
    </xf>
    <xf numFmtId="0" fontId="62" fillId="29" borderId="0" xfId="0" applyFont="1" applyFill="1" applyBorder="1" applyAlignment="1">
      <alignment horizontal="center" vertical="center"/>
    </xf>
    <xf numFmtId="170" fontId="62" fillId="29" borderId="13" xfId="0" applyNumberFormat="1" applyFont="1" applyFill="1" applyBorder="1" applyAlignment="1">
      <alignment horizontal="center" vertical="center" wrapText="1"/>
    </xf>
    <xf numFmtId="170" fontId="62" fillId="29" borderId="13" xfId="0" quotePrefix="1" applyNumberFormat="1" applyFont="1" applyFill="1" applyBorder="1" applyAlignment="1">
      <alignment horizontal="center" vertical="center" wrapText="1"/>
    </xf>
    <xf numFmtId="0" fontId="67" fillId="29" borderId="36" xfId="0" applyFont="1" applyFill="1" applyBorder="1" applyAlignment="1">
      <alignment horizontal="center" vertical="center"/>
    </xf>
    <xf numFmtId="0" fontId="67" fillId="29" borderId="37" xfId="0" applyFont="1" applyFill="1" applyBorder="1" applyAlignment="1">
      <alignment horizontal="center" vertical="center"/>
    </xf>
    <xf numFmtId="0" fontId="67" fillId="29" borderId="38" xfId="0" applyFont="1" applyFill="1" applyBorder="1" applyAlignment="1">
      <alignment horizontal="center" vertical="center"/>
    </xf>
    <xf numFmtId="0" fontId="66" fillId="29" borderId="13" xfId="0" applyFont="1" applyFill="1" applyBorder="1" applyAlignment="1">
      <alignment horizontal="center"/>
    </xf>
    <xf numFmtId="0" fontId="62" fillId="29" borderId="0" xfId="0" applyFont="1" applyFill="1" applyAlignment="1">
      <alignment horizontal="center" vertical="center"/>
    </xf>
    <xf numFmtId="0" fontId="66" fillId="29" borderId="36" xfId="0" applyFont="1" applyFill="1" applyBorder="1" applyAlignment="1">
      <alignment horizontal="center" vertical="center" wrapText="1"/>
    </xf>
    <xf numFmtId="0" fontId="66" fillId="29" borderId="37" xfId="0" applyFont="1" applyFill="1" applyBorder="1" applyAlignment="1">
      <alignment horizontal="center" vertical="center" wrapText="1"/>
    </xf>
    <xf numFmtId="0" fontId="66" fillId="29" borderId="38" xfId="0" applyFont="1" applyFill="1" applyBorder="1" applyAlignment="1">
      <alignment horizontal="center" vertical="center" wrapText="1"/>
    </xf>
    <xf numFmtId="0" fontId="62" fillId="29" borderId="18" xfId="0" applyFont="1" applyFill="1" applyBorder="1" applyAlignment="1">
      <alignment horizontal="center" vertical="center" wrapText="1"/>
    </xf>
    <xf numFmtId="0" fontId="62" fillId="29" borderId="29" xfId="0" applyFont="1" applyFill="1" applyBorder="1" applyAlignment="1">
      <alignment horizontal="center" vertical="center"/>
    </xf>
    <xf numFmtId="0" fontId="62" fillId="29" borderId="13" xfId="0" applyFont="1" applyFill="1" applyBorder="1" applyAlignment="1">
      <alignment horizontal="center" vertical="center"/>
    </xf>
    <xf numFmtId="0" fontId="62" fillId="29" borderId="33" xfId="0" applyFont="1" applyFill="1" applyBorder="1" applyAlignment="1">
      <alignment horizontal="center" vertical="center"/>
    </xf>
    <xf numFmtId="0" fontId="67" fillId="29" borderId="0" xfId="0" applyFont="1" applyFill="1" applyBorder="1" applyAlignment="1">
      <alignment horizontal="center" vertical="center"/>
    </xf>
    <xf numFmtId="0" fontId="67" fillId="29" borderId="0" xfId="0" applyFont="1" applyFill="1" applyBorder="1" applyAlignment="1">
      <alignment horizontal="center" vertical="center" wrapText="1"/>
    </xf>
    <xf numFmtId="0" fontId="67" fillId="29" borderId="40" xfId="0" applyFont="1" applyFill="1" applyBorder="1" applyAlignment="1">
      <alignment horizontal="center" vertical="center"/>
    </xf>
    <xf numFmtId="0" fontId="67" fillId="29" borderId="41" xfId="0" applyFont="1" applyFill="1" applyBorder="1" applyAlignment="1">
      <alignment horizontal="center" vertical="center"/>
    </xf>
    <xf numFmtId="0" fontId="67" fillId="29" borderId="42" xfId="0" applyFont="1" applyFill="1" applyBorder="1" applyAlignment="1">
      <alignment horizontal="center" vertical="center"/>
    </xf>
    <xf numFmtId="0" fontId="67" fillId="29" borderId="32" xfId="0" applyFont="1" applyFill="1" applyBorder="1" applyAlignment="1" applyProtection="1">
      <alignment horizontal="center" vertical="center"/>
      <protection locked="0"/>
    </xf>
    <xf numFmtId="0" fontId="67" fillId="29" borderId="13" xfId="0" applyFont="1" applyFill="1" applyBorder="1" applyAlignment="1" applyProtection="1">
      <alignment horizontal="center" vertical="center"/>
      <protection locked="0"/>
    </xf>
    <xf numFmtId="0" fontId="67" fillId="29" borderId="33" xfId="0" applyFont="1" applyFill="1" applyBorder="1" applyAlignment="1" applyProtection="1">
      <alignment horizontal="center" vertical="center"/>
      <protection locked="0"/>
    </xf>
    <xf numFmtId="0" fontId="62" fillId="29" borderId="3" xfId="0" applyFont="1" applyFill="1" applyBorder="1" applyAlignment="1">
      <alignment horizontal="center" vertical="center"/>
    </xf>
    <xf numFmtId="0" fontId="62" fillId="29" borderId="3" xfId="0" applyFont="1" applyFill="1" applyBorder="1" applyAlignment="1">
      <alignment horizontal="center" vertical="center" wrapText="1"/>
    </xf>
    <xf numFmtId="0" fontId="67" fillId="29" borderId="44" xfId="0" applyFont="1" applyFill="1" applyBorder="1" applyAlignment="1">
      <alignment horizontal="center" vertical="center" wrapText="1"/>
    </xf>
    <xf numFmtId="0" fontId="67" fillId="29" borderId="45" xfId="0" applyFont="1" applyFill="1" applyBorder="1" applyAlignment="1">
      <alignment horizontal="center" vertical="center" wrapText="1"/>
    </xf>
    <xf numFmtId="0" fontId="67" fillId="29" borderId="43" xfId="0" applyFont="1" applyFill="1" applyBorder="1" applyAlignment="1">
      <alignment horizontal="center" vertical="center" wrapText="1"/>
    </xf>
    <xf numFmtId="0" fontId="83" fillId="29" borderId="34" xfId="0" applyFont="1" applyFill="1" applyBorder="1" applyAlignment="1">
      <alignment horizontal="center" vertical="center"/>
    </xf>
    <xf numFmtId="0" fontId="83" fillId="29" borderId="35" xfId="0" applyFont="1" applyFill="1" applyBorder="1" applyAlignment="1">
      <alignment horizontal="center" vertical="center"/>
    </xf>
    <xf numFmtId="0" fontId="63" fillId="29" borderId="13" xfId="0" applyFont="1" applyFill="1" applyBorder="1" applyAlignment="1">
      <alignment horizontal="center"/>
    </xf>
    <xf numFmtId="0" fontId="65" fillId="29" borderId="19" xfId="0" applyFont="1" applyFill="1" applyBorder="1" applyAlignment="1">
      <alignment horizontal="center" vertical="center"/>
    </xf>
    <xf numFmtId="0" fontId="63" fillId="29" borderId="15" xfId="0" applyFont="1" applyFill="1" applyBorder="1" applyAlignment="1">
      <alignment horizontal="left" vertical="center" wrapText="1"/>
    </xf>
    <xf numFmtId="0" fontId="63" fillId="29" borderId="16" xfId="0" applyFont="1" applyFill="1" applyBorder="1" applyAlignment="1">
      <alignment horizontal="left" vertical="center" wrapText="1"/>
    </xf>
    <xf numFmtId="0" fontId="66" fillId="29" borderId="0" xfId="0" applyFont="1" applyFill="1" applyBorder="1" applyAlignment="1">
      <alignment horizontal="center" vertical="center" wrapText="1"/>
    </xf>
    <xf numFmtId="170" fontId="65" fillId="29" borderId="13" xfId="0" applyNumberFormat="1" applyFont="1" applyFill="1" applyBorder="1" applyAlignment="1">
      <alignment horizontal="center" vertical="center" wrapText="1"/>
    </xf>
    <xf numFmtId="0" fontId="65" fillId="29" borderId="0" xfId="0" applyFont="1" applyFill="1" applyBorder="1" applyAlignment="1">
      <alignment horizontal="left" vertical="center"/>
    </xf>
    <xf numFmtId="0" fontId="63" fillId="29" borderId="15" xfId="0" applyFont="1" applyFill="1" applyBorder="1" applyAlignment="1">
      <alignment horizontal="center" vertical="center"/>
    </xf>
    <xf numFmtId="0" fontId="63" fillId="29" borderId="16" xfId="0" applyFont="1" applyFill="1" applyBorder="1" applyAlignment="1">
      <alignment horizontal="center" vertical="center"/>
    </xf>
    <xf numFmtId="0" fontId="63" fillId="29" borderId="15" xfId="0" applyFont="1" applyFill="1" applyBorder="1" applyAlignment="1">
      <alignment horizontal="center" vertical="center" wrapText="1"/>
    </xf>
    <xf numFmtId="0" fontId="63" fillId="29" borderId="16" xfId="0" applyFont="1" applyFill="1" applyBorder="1" applyAlignment="1">
      <alignment horizontal="center" vertical="center" wrapText="1"/>
    </xf>
    <xf numFmtId="0" fontId="63" fillId="29" borderId="15" xfId="0" applyFont="1" applyFill="1" applyBorder="1" applyAlignment="1">
      <alignment horizontal="left" vertical="center"/>
    </xf>
    <xf numFmtId="0" fontId="63" fillId="29" borderId="16" xfId="0" applyFont="1" applyFill="1" applyBorder="1" applyAlignment="1">
      <alignment horizontal="left" vertical="center"/>
    </xf>
    <xf numFmtId="0" fontId="65" fillId="29" borderId="0" xfId="0" applyFont="1" applyFill="1" applyBorder="1" applyAlignment="1">
      <alignment horizontal="center" vertical="center" wrapText="1"/>
    </xf>
    <xf numFmtId="170" fontId="65" fillId="29" borderId="13" xfId="0" applyNumberFormat="1" applyFont="1" applyFill="1" applyBorder="1" applyAlignment="1">
      <alignment horizontal="left" vertical="center" wrapText="1"/>
    </xf>
    <xf numFmtId="0" fontId="65" fillId="29" borderId="0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center" vertical="center" wrapText="1"/>
    </xf>
    <xf numFmtId="170" fontId="98" fillId="29" borderId="13" xfId="0" quotePrefix="1" applyNumberFormat="1" applyFont="1" applyFill="1" applyBorder="1" applyAlignment="1">
      <alignment horizontal="center" wrapText="1"/>
    </xf>
    <xf numFmtId="170" fontId="66" fillId="29" borderId="13" xfId="0" quotePrefix="1" applyNumberFormat="1" applyFont="1" applyFill="1" applyBorder="1" applyAlignment="1">
      <alignment horizontal="center" wrapText="1"/>
    </xf>
    <xf numFmtId="0" fontId="65" fillId="29" borderId="15" xfId="353" applyFont="1" applyFill="1" applyBorder="1" applyAlignment="1">
      <alignment horizontal="left" vertical="center" wrapText="1"/>
    </xf>
    <xf numFmtId="0" fontId="65" fillId="29" borderId="14" xfId="353" applyFont="1" applyFill="1" applyBorder="1" applyAlignment="1">
      <alignment horizontal="left" vertical="center" wrapText="1"/>
    </xf>
    <xf numFmtId="0" fontId="65" fillId="29" borderId="16" xfId="353" applyFont="1" applyFill="1" applyBorder="1" applyAlignment="1">
      <alignment horizontal="left" vertical="center" wrapText="1"/>
    </xf>
    <xf numFmtId="0" fontId="75" fillId="29" borderId="15" xfId="0" applyFont="1" applyFill="1" applyBorder="1" applyAlignment="1">
      <alignment horizontal="left" vertical="center" wrapText="1"/>
    </xf>
    <xf numFmtId="0" fontId="75" fillId="29" borderId="14" xfId="0" applyFont="1" applyFill="1" applyBorder="1" applyAlignment="1">
      <alignment horizontal="left" vertical="center" wrapText="1"/>
    </xf>
    <xf numFmtId="0" fontId="75" fillId="29" borderId="16" xfId="0" applyFont="1" applyFill="1" applyBorder="1" applyAlignment="1">
      <alignment horizontal="left" vertical="center" wrapText="1"/>
    </xf>
    <xf numFmtId="0" fontId="83" fillId="29" borderId="0" xfId="0" applyFont="1" applyFill="1" applyBorder="1" applyAlignment="1">
      <alignment horizontal="center" vertical="center"/>
    </xf>
    <xf numFmtId="0" fontId="66" fillId="29" borderId="15" xfId="0" applyFont="1" applyFill="1" applyBorder="1" applyAlignment="1">
      <alignment horizontal="left" vertical="center" wrapText="1"/>
    </xf>
    <xf numFmtId="0" fontId="66" fillId="29" borderId="14" xfId="0" applyFont="1" applyFill="1" applyBorder="1" applyAlignment="1">
      <alignment horizontal="left" vertical="center" wrapText="1"/>
    </xf>
    <xf numFmtId="0" fontId="66" fillId="29" borderId="16" xfId="0" applyFont="1" applyFill="1" applyBorder="1" applyAlignment="1">
      <alignment horizontal="left" vertical="center" wrapText="1"/>
    </xf>
    <xf numFmtId="0" fontId="65" fillId="29" borderId="15" xfId="0" applyFont="1" applyFill="1" applyBorder="1" applyAlignment="1">
      <alignment horizontal="left" vertical="center" wrapText="1"/>
    </xf>
    <xf numFmtId="0" fontId="65" fillId="29" borderId="14" xfId="0" applyFont="1" applyFill="1" applyBorder="1" applyAlignment="1">
      <alignment horizontal="left" vertical="center" wrapText="1"/>
    </xf>
    <xf numFmtId="0" fontId="65" fillId="29" borderId="16" xfId="0" applyFont="1" applyFill="1" applyBorder="1" applyAlignment="1">
      <alignment horizontal="left" vertical="center" wrapText="1"/>
    </xf>
    <xf numFmtId="0" fontId="72" fillId="29" borderId="0" xfId="0" applyFont="1" applyFill="1" applyAlignment="1">
      <alignment vertical="center" wrapText="1"/>
    </xf>
    <xf numFmtId="0" fontId="73" fillId="29" borderId="0" xfId="0" applyFont="1" applyFill="1" applyAlignment="1">
      <alignment vertical="center" wrapText="1"/>
    </xf>
    <xf numFmtId="0" fontId="69" fillId="29" borderId="0" xfId="0" applyFont="1" applyFill="1" applyBorder="1" applyAlignment="1">
      <alignment horizontal="center" wrapText="1"/>
    </xf>
    <xf numFmtId="0" fontId="62" fillId="29" borderId="0" xfId="0" applyFont="1" applyFill="1" applyBorder="1" applyAlignment="1">
      <alignment horizontal="center"/>
    </xf>
    <xf numFmtId="3" fontId="66" fillId="29" borderId="15" xfId="0" applyNumberFormat="1" applyFont="1" applyFill="1" applyBorder="1" applyAlignment="1">
      <alignment horizontal="left" vertical="center" wrapText="1"/>
    </xf>
    <xf numFmtId="3" fontId="66" fillId="29" borderId="14" xfId="0" applyNumberFormat="1" applyFont="1" applyFill="1" applyBorder="1" applyAlignment="1">
      <alignment horizontal="left" vertical="center" wrapText="1"/>
    </xf>
    <xf numFmtId="3" fontId="66" fillId="29" borderId="16" xfId="0" applyNumberFormat="1" applyFont="1" applyFill="1" applyBorder="1" applyAlignment="1">
      <alignment horizontal="left" vertical="center" wrapText="1"/>
    </xf>
    <xf numFmtId="0" fontId="75" fillId="29" borderId="15" xfId="0" applyFont="1" applyFill="1" applyBorder="1" applyAlignment="1">
      <alignment horizontal="left" wrapText="1"/>
    </xf>
    <xf numFmtId="0" fontId="75" fillId="29" borderId="14" xfId="0" applyFont="1" applyFill="1" applyBorder="1" applyAlignment="1">
      <alignment horizontal="left" wrapText="1"/>
    </xf>
    <xf numFmtId="0" fontId="75" fillId="29" borderId="16" xfId="0" applyFont="1" applyFill="1" applyBorder="1" applyAlignment="1">
      <alignment horizontal="left" wrapText="1"/>
    </xf>
    <xf numFmtId="0" fontId="80" fillId="29" borderId="15" xfId="0" applyFont="1" applyFill="1" applyBorder="1" applyAlignment="1">
      <alignment horizontal="left" vertical="center" wrapText="1"/>
    </xf>
    <xf numFmtId="0" fontId="80" fillId="29" borderId="14" xfId="0" applyFont="1" applyFill="1" applyBorder="1" applyAlignment="1">
      <alignment horizontal="left" vertical="center" wrapText="1"/>
    </xf>
    <xf numFmtId="0" fontId="80" fillId="29" borderId="16" xfId="0" applyFont="1" applyFill="1" applyBorder="1" applyAlignment="1">
      <alignment horizontal="left" vertical="center" wrapText="1"/>
    </xf>
    <xf numFmtId="4" fontId="65" fillId="29" borderId="15" xfId="0" applyNumberFormat="1" applyFont="1" applyFill="1" applyBorder="1" applyAlignment="1">
      <alignment horizontal="left"/>
    </xf>
    <xf numFmtId="4" fontId="65" fillId="29" borderId="14" xfId="0" applyNumberFormat="1" applyFont="1" applyFill="1" applyBorder="1" applyAlignment="1">
      <alignment horizontal="left"/>
    </xf>
    <xf numFmtId="4" fontId="65" fillId="29" borderId="16" xfId="0" applyNumberFormat="1" applyFont="1" applyFill="1" applyBorder="1" applyAlignment="1">
      <alignment horizontal="left"/>
    </xf>
    <xf numFmtId="0" fontId="75" fillId="29" borderId="15" xfId="0" applyFont="1" applyFill="1" applyBorder="1" applyAlignment="1">
      <alignment horizontal="left" vertical="center"/>
    </xf>
    <xf numFmtId="0" fontId="75" fillId="29" borderId="14" xfId="0" applyFont="1" applyFill="1" applyBorder="1" applyAlignment="1">
      <alignment horizontal="left" vertical="center"/>
    </xf>
    <xf numFmtId="0" fontId="75" fillId="29" borderId="16" xfId="0" applyFont="1" applyFill="1" applyBorder="1" applyAlignment="1">
      <alignment horizontal="left" vertical="center"/>
    </xf>
    <xf numFmtId="0" fontId="65" fillId="29" borderId="15" xfId="0" applyFont="1" applyFill="1" applyBorder="1" applyAlignment="1">
      <alignment horizontal="left" vertical="center"/>
    </xf>
    <xf numFmtId="0" fontId="65" fillId="29" borderId="14" xfId="0" applyFont="1" applyFill="1" applyBorder="1" applyAlignment="1">
      <alignment horizontal="left" vertical="center"/>
    </xf>
    <xf numFmtId="0" fontId="65" fillId="29" borderId="16" xfId="0" applyFont="1" applyFill="1" applyBorder="1" applyAlignment="1">
      <alignment horizontal="left" vertical="center"/>
    </xf>
  </cellXfs>
  <cellStyles count="354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7"/>
    <cellStyle name="Вывод 3" xfId="208"/>
    <cellStyle name="Вычисление 2" xfId="209"/>
    <cellStyle name="Вычисление 3" xfId="210"/>
    <cellStyle name="Денежный 2" xfId="211"/>
    <cellStyle name="Заголовок 1 2" xfId="212"/>
    <cellStyle name="Заголовок 1 3" xfId="213"/>
    <cellStyle name="Заголовок 2 2" xfId="214"/>
    <cellStyle name="Заголовок 2 3" xfId="215"/>
    <cellStyle name="Заголовок 3 2" xfId="216"/>
    <cellStyle name="Заголовок 3 3" xfId="217"/>
    <cellStyle name="Заголовок 4 2" xfId="218"/>
    <cellStyle name="Заголовок 4 3" xfId="219"/>
    <cellStyle name="Звичайний 2" xfId="353"/>
    <cellStyle name="Итог 2" xfId="220"/>
    <cellStyle name="Итог 3" xfId="221"/>
    <cellStyle name="Контрольная ячейка 2" xfId="222"/>
    <cellStyle name="Контрольная ячейка 3" xfId="223"/>
    <cellStyle name="Название 2" xfId="224"/>
    <cellStyle name="Название 3" xfId="225"/>
    <cellStyle name="Нейтральный 2" xfId="226"/>
    <cellStyle name="Нейтральный 3" xfId="227"/>
    <cellStyle name="Обычный" xfId="0" builtinId="0"/>
    <cellStyle name="Обычный 10" xfId="228"/>
    <cellStyle name="Обычный 11" xfId="229"/>
    <cellStyle name="Обычный 12" xfId="230"/>
    <cellStyle name="Обычный 13" xfId="231"/>
    <cellStyle name="Обычный 14" xfId="232"/>
    <cellStyle name="Обычный 15" xfId="233"/>
    <cellStyle name="Обычный 16" xfId="234"/>
    <cellStyle name="Обычный 17" xfId="235"/>
    <cellStyle name="Обычный 18" xfId="236"/>
    <cellStyle name="Обычный 2" xfId="237"/>
    <cellStyle name="Обычный 2 10" xfId="238"/>
    <cellStyle name="Обычный 2 11" xfId="239"/>
    <cellStyle name="Обычный 2 12" xfId="240"/>
    <cellStyle name="Обычный 2 13" xfId="241"/>
    <cellStyle name="Обычный 2 14" xfId="242"/>
    <cellStyle name="Обычный 2 15" xfId="243"/>
    <cellStyle name="Обычный 2 16" xfId="244"/>
    <cellStyle name="Обычный 2 2" xfId="245"/>
    <cellStyle name="Обычный 2 2 2" xfId="246"/>
    <cellStyle name="Обычный 2 2 3" xfId="247"/>
    <cellStyle name="Обычный 2 2_Расшифровка прочих" xfId="248"/>
    <cellStyle name="Обычный 2 3" xfId="249"/>
    <cellStyle name="Обычный 2 4" xfId="250"/>
    <cellStyle name="Обычный 2 5" xfId="251"/>
    <cellStyle name="Обычный 2 6" xfId="252"/>
    <cellStyle name="Обычный 2 7" xfId="253"/>
    <cellStyle name="Обычный 2 8" xfId="254"/>
    <cellStyle name="Обычный 2 9" xfId="255"/>
    <cellStyle name="Обычный 2_2604-2010" xfId="256"/>
    <cellStyle name="Обычный 3" xfId="257"/>
    <cellStyle name="Обычный 3 10" xfId="258"/>
    <cellStyle name="Обычный 3 11" xfId="259"/>
    <cellStyle name="Обычный 3 12" xfId="260"/>
    <cellStyle name="Обычный 3 13" xfId="261"/>
    <cellStyle name="Обычный 3 14" xfId="262"/>
    <cellStyle name="Обычный 3 2" xfId="263"/>
    <cellStyle name="Обычный 3 3" xfId="264"/>
    <cellStyle name="Обычный 3 4" xfId="265"/>
    <cellStyle name="Обычный 3 5" xfId="266"/>
    <cellStyle name="Обычный 3 6" xfId="267"/>
    <cellStyle name="Обычный 3 7" xfId="268"/>
    <cellStyle name="Обычный 3 8" xfId="269"/>
    <cellStyle name="Обычный 3 9" xfId="270"/>
    <cellStyle name="Обычный 3_Дефицит_7 млрд_0608_бс" xfId="271"/>
    <cellStyle name="Обычный 4" xfId="272"/>
    <cellStyle name="Обычный 5" xfId="273"/>
    <cellStyle name="Обычный 5 2" xfId="274"/>
    <cellStyle name="Обычный 6" xfId="275"/>
    <cellStyle name="Обычный 6 2" xfId="276"/>
    <cellStyle name="Обычный 6 3" xfId="277"/>
    <cellStyle name="Обычный 6 4" xfId="278"/>
    <cellStyle name="Обычный 6_Дефицит_7 млрд_0608_бс" xfId="279"/>
    <cellStyle name="Обычный 7" xfId="280"/>
    <cellStyle name="Обычный 7 2" xfId="281"/>
    <cellStyle name="Обычный 8" xfId="282"/>
    <cellStyle name="Обычный 9" xfId="283"/>
    <cellStyle name="Обычный 9 2" xfId="284"/>
    <cellStyle name="Плохой 2" xfId="285"/>
    <cellStyle name="Плохой 3" xfId="286"/>
    <cellStyle name="Пояснение 2" xfId="287"/>
    <cellStyle name="Пояснение 3" xfId="288"/>
    <cellStyle name="Примечание 2" xfId="289"/>
    <cellStyle name="Примечание 3" xfId="290"/>
    <cellStyle name="Процентный 2" xfId="291"/>
    <cellStyle name="Процентный 2 10" xfId="292"/>
    <cellStyle name="Процентный 2 11" xfId="293"/>
    <cellStyle name="Процентный 2 12" xfId="294"/>
    <cellStyle name="Процентный 2 13" xfId="295"/>
    <cellStyle name="Процентный 2 14" xfId="296"/>
    <cellStyle name="Процентный 2 15" xfId="297"/>
    <cellStyle name="Процентный 2 16" xfId="298"/>
    <cellStyle name="Процентный 2 2" xfId="299"/>
    <cellStyle name="Процентный 2 3" xfId="300"/>
    <cellStyle name="Процентный 2 4" xfId="301"/>
    <cellStyle name="Процентный 2 5" xfId="302"/>
    <cellStyle name="Процентный 2 6" xfId="303"/>
    <cellStyle name="Процентный 2 7" xfId="304"/>
    <cellStyle name="Процентный 2 8" xfId="305"/>
    <cellStyle name="Процентный 2 9" xfId="306"/>
    <cellStyle name="Процентный 3" xfId="307"/>
    <cellStyle name="Процентный 4" xfId="308"/>
    <cellStyle name="Процентный 4 2" xfId="309"/>
    <cellStyle name="Связанная ячейка 2" xfId="310"/>
    <cellStyle name="Связанная ячейка 3" xfId="311"/>
    <cellStyle name="Стиль 1" xfId="312"/>
    <cellStyle name="Стиль 1 2" xfId="313"/>
    <cellStyle name="Стиль 1 3" xfId="314"/>
    <cellStyle name="Стиль 1 4" xfId="315"/>
    <cellStyle name="Стиль 1 5" xfId="316"/>
    <cellStyle name="Стиль 1 6" xfId="317"/>
    <cellStyle name="Стиль 1 7" xfId="318"/>
    <cellStyle name="Текст предупреждения 2" xfId="319"/>
    <cellStyle name="Текст предупреждения 3" xfId="320"/>
    <cellStyle name="Тысячи [0]_1.62" xfId="321"/>
    <cellStyle name="Тысячи_1.62" xfId="322"/>
    <cellStyle name="Финансовый 2" xfId="323"/>
    <cellStyle name="Финансовый 2 10" xfId="324"/>
    <cellStyle name="Финансовый 2 11" xfId="325"/>
    <cellStyle name="Финансовый 2 12" xfId="326"/>
    <cellStyle name="Финансовый 2 13" xfId="327"/>
    <cellStyle name="Финансовый 2 14" xfId="328"/>
    <cellStyle name="Финансовый 2 15" xfId="329"/>
    <cellStyle name="Финансовый 2 16" xfId="330"/>
    <cellStyle name="Финансовый 2 17" xfId="331"/>
    <cellStyle name="Финансовый 2 2" xfId="332"/>
    <cellStyle name="Финансовый 2 3" xfId="333"/>
    <cellStyle name="Финансовый 2 4" xfId="334"/>
    <cellStyle name="Финансовый 2 5" xfId="335"/>
    <cellStyle name="Финансовый 2 6" xfId="336"/>
    <cellStyle name="Финансовый 2 7" xfId="337"/>
    <cellStyle name="Финансовый 2 8" xfId="338"/>
    <cellStyle name="Финансовый 2 9" xfId="339"/>
    <cellStyle name="Финансовый 3" xfId="340"/>
    <cellStyle name="Финансовый 3 2" xfId="341"/>
    <cellStyle name="Финансовый 4" xfId="342"/>
    <cellStyle name="Финансовый 4 2" xfId="343"/>
    <cellStyle name="Финансовый 4 3" xfId="344"/>
    <cellStyle name="Финансовый 5" xfId="345"/>
    <cellStyle name="Финансовый 6" xfId="346"/>
    <cellStyle name="Финансовый 7" xfId="347"/>
    <cellStyle name="Хороший 2" xfId="348"/>
    <cellStyle name="Хороший 3" xfId="349"/>
    <cellStyle name="числовой" xfId="350"/>
    <cellStyle name="Ю" xfId="351"/>
    <cellStyle name="Ю-FreeSet_10" xfId="3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externalLink" Target="externalLinks/externalLink36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externalLink" Target="externalLinks/externalLink3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opatynskaLM\AppData\Local\Microsoft\Windows\INetCache\Content.Outlook\Z91WHJA2\&#1047;&#1074;&#1110;&#1090;%20&#1079;&#1072;%202021%20&#1088;&#1110;&#1082;%20(002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 refreshError="1"/>
      <sheetData sheetId="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іт про виконання показ фінпла"/>
      <sheetName val="Розшифровка 1 до Формування"/>
      <sheetName val="Розшифровка 2 до формування"/>
      <sheetName val="Рух грошових коштів"/>
      <sheetName val="Розшифровка кап"/>
      <sheetName val="Розшифровка за джерелами"/>
    </sheetNames>
    <sheetDataSet>
      <sheetData sheetId="0"/>
      <sheetData sheetId="1"/>
      <sheetData sheetId="2"/>
      <sheetData sheetId="3">
        <row r="8">
          <cell r="C8">
            <v>46868.6</v>
          </cell>
          <cell r="D8">
            <v>64875.6</v>
          </cell>
        </row>
        <row r="13">
          <cell r="C13">
            <v>28394</v>
          </cell>
          <cell r="D13">
            <v>12639.9</v>
          </cell>
        </row>
        <row r="17">
          <cell r="C17">
            <v>493.59999999999997</v>
          </cell>
          <cell r="D17">
            <v>33.6</v>
          </cell>
        </row>
        <row r="28">
          <cell r="C28">
            <v>9723.7999999999993</v>
          </cell>
          <cell r="D28">
            <v>0</v>
          </cell>
        </row>
        <row r="29">
          <cell r="C29">
            <v>9723.7999999999993</v>
          </cell>
        </row>
        <row r="242">
          <cell r="C242">
            <v>26.5</v>
          </cell>
          <cell r="D242">
            <v>33.6</v>
          </cell>
        </row>
      </sheetData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L300"/>
  <sheetViews>
    <sheetView tabSelected="1" view="pageBreakPreview" topLeftCell="A109" zoomScale="60" zoomScaleNormal="75" workbookViewId="0">
      <selection activeCell="H162" sqref="H162"/>
    </sheetView>
  </sheetViews>
  <sheetFormatPr defaultColWidth="9.140625" defaultRowHeight="20.25"/>
  <cols>
    <col min="1" max="1" width="65.42578125" style="173" customWidth="1"/>
    <col min="2" max="2" width="17.28515625" style="220" customWidth="1"/>
    <col min="3" max="4" width="18" style="220" customWidth="1"/>
    <col min="5" max="5" width="18.7109375" style="201" customWidth="1"/>
    <col min="6" max="6" width="19" style="173" customWidth="1"/>
    <col min="7" max="7" width="18.7109375" style="173" customWidth="1"/>
    <col min="8" max="8" width="19.42578125" style="173" customWidth="1"/>
    <col min="9" max="9" width="17.5703125" style="173" customWidth="1"/>
    <col min="10" max="10" width="16.85546875" style="173" customWidth="1"/>
    <col min="11" max="11" width="17.7109375" style="173" customWidth="1"/>
    <col min="12" max="12" width="12.5703125" style="173" customWidth="1"/>
    <col min="13" max="13" width="10.5703125" style="173" customWidth="1"/>
    <col min="14" max="16384" width="9.140625" style="173"/>
  </cols>
  <sheetData>
    <row r="1" spans="1:11" ht="87" customHeight="1">
      <c r="A1" s="385" t="s">
        <v>438</v>
      </c>
      <c r="B1" s="384"/>
      <c r="C1" s="384"/>
      <c r="D1" s="384"/>
      <c r="E1" s="384"/>
      <c r="F1" s="384"/>
      <c r="G1" s="384"/>
      <c r="H1" s="384"/>
    </row>
    <row r="2" spans="1:11" ht="24.75" customHeight="1">
      <c r="A2" s="384" t="s">
        <v>19</v>
      </c>
      <c r="B2" s="384"/>
      <c r="C2" s="384"/>
      <c r="D2" s="384"/>
      <c r="E2" s="384"/>
      <c r="F2" s="384"/>
      <c r="G2" s="384"/>
      <c r="H2" s="384"/>
    </row>
    <row r="3" spans="1:11" ht="23.25" customHeight="1">
      <c r="B3" s="182"/>
      <c r="C3" s="221"/>
      <c r="D3" s="182"/>
      <c r="E3" s="204"/>
      <c r="F3" s="182"/>
      <c r="G3" s="182"/>
      <c r="H3" s="193" t="s">
        <v>56</v>
      </c>
    </row>
    <row r="4" spans="1:11" ht="48.75" customHeight="1">
      <c r="A4" s="392" t="s">
        <v>24</v>
      </c>
      <c r="B4" s="393" t="s">
        <v>5</v>
      </c>
      <c r="C4" s="393" t="s">
        <v>121</v>
      </c>
      <c r="D4" s="393"/>
      <c r="E4" s="392" t="s">
        <v>437</v>
      </c>
      <c r="F4" s="392"/>
      <c r="G4" s="392"/>
      <c r="H4" s="392"/>
    </row>
    <row r="5" spans="1:11" ht="47.25" customHeight="1">
      <c r="A5" s="392"/>
      <c r="B5" s="393"/>
      <c r="C5" s="264" t="s">
        <v>533</v>
      </c>
      <c r="D5" s="264" t="s">
        <v>534</v>
      </c>
      <c r="E5" s="205" t="s">
        <v>106</v>
      </c>
      <c r="F5" s="2" t="s">
        <v>107</v>
      </c>
      <c r="G5" s="2" t="s">
        <v>108</v>
      </c>
      <c r="H5" s="2" t="s">
        <v>109</v>
      </c>
    </row>
    <row r="6" spans="1:11" ht="29.25" customHeight="1">
      <c r="A6" s="4">
        <v>1</v>
      </c>
      <c r="B6" s="264">
        <v>2</v>
      </c>
      <c r="C6" s="264">
        <v>3</v>
      </c>
      <c r="D6" s="264">
        <v>4</v>
      </c>
      <c r="E6" s="323">
        <v>5</v>
      </c>
      <c r="F6" s="264">
        <v>6</v>
      </c>
      <c r="G6" s="264">
        <v>7</v>
      </c>
      <c r="H6" s="264">
        <v>8</v>
      </c>
    </row>
    <row r="7" spans="1:11" ht="33" customHeight="1" thickBot="1">
      <c r="A7" s="394" t="s">
        <v>95</v>
      </c>
      <c r="B7" s="395"/>
      <c r="C7" s="395"/>
      <c r="D7" s="395"/>
      <c r="E7" s="395"/>
      <c r="F7" s="395"/>
      <c r="G7" s="395"/>
      <c r="H7" s="396"/>
    </row>
    <row r="8" spans="1:11" ht="48.75" customHeight="1">
      <c r="A8" s="322" t="s">
        <v>122</v>
      </c>
      <c r="B8" s="312">
        <v>1000</v>
      </c>
      <c r="C8" s="313">
        <v>46843.7</v>
      </c>
      <c r="D8" s="313">
        <v>74178.7</v>
      </c>
      <c r="E8" s="314">
        <v>64875.6</v>
      </c>
      <c r="F8" s="313">
        <f>D8</f>
        <v>74178.7</v>
      </c>
      <c r="G8" s="313">
        <f>F8-E8</f>
        <v>9303.0999999999985</v>
      </c>
      <c r="H8" s="315">
        <f>(F8/E8)*100</f>
        <v>114.33990591223819</v>
      </c>
    </row>
    <row r="9" spans="1:11" ht="47.25" customHeight="1">
      <c r="A9" s="7" t="s">
        <v>66</v>
      </c>
      <c r="B9" s="3">
        <v>1010</v>
      </c>
      <c r="C9" s="1">
        <f>SUM(C10:C14)</f>
        <v>-66955.400000000009</v>
      </c>
      <c r="D9" s="1">
        <f>SUM(D10:D14)</f>
        <v>-82013.899999999994</v>
      </c>
      <c r="E9" s="207">
        <f>SUM(E10:E14)</f>
        <v>-72955.500000000015</v>
      </c>
      <c r="F9" s="1">
        <f>SUM(F10:F14)</f>
        <v>-82013.899999999994</v>
      </c>
      <c r="G9" s="1">
        <f t="shared" ref="G9:G43" si="0">F9-E9</f>
        <v>-9058.3999999999796</v>
      </c>
      <c r="H9" s="28">
        <f t="shared" ref="H9:H43" si="1">(F9/E9)*100</f>
        <v>112.41633598563506</v>
      </c>
      <c r="K9" s="20"/>
    </row>
    <row r="10" spans="1:11" ht="30" customHeight="1">
      <c r="A10" s="9" t="s">
        <v>67</v>
      </c>
      <c r="B10" s="4">
        <v>1011</v>
      </c>
      <c r="C10" s="5">
        <v>-11277.2</v>
      </c>
      <c r="D10" s="5">
        <v>-16330.2</v>
      </c>
      <c r="E10" s="208">
        <v>-11337.2</v>
      </c>
      <c r="F10" s="5">
        <f>D10</f>
        <v>-16330.2</v>
      </c>
      <c r="G10" s="5">
        <f t="shared" si="0"/>
        <v>-4993</v>
      </c>
      <c r="H10" s="29">
        <f t="shared" si="1"/>
        <v>144.04085664890803</v>
      </c>
      <c r="J10" s="18"/>
      <c r="K10" s="81"/>
    </row>
    <row r="11" spans="1:11" ht="28.5" customHeight="1">
      <c r="A11" s="9" t="s">
        <v>2</v>
      </c>
      <c r="B11" s="4">
        <v>1012</v>
      </c>
      <c r="C11" s="5">
        <v>-40186.300000000003</v>
      </c>
      <c r="D11" s="5">
        <v>-46545.7</v>
      </c>
      <c r="E11" s="208">
        <v>-46452.4</v>
      </c>
      <c r="F11" s="5">
        <f t="shared" ref="F11:F14" si="2">D11</f>
        <v>-46545.7</v>
      </c>
      <c r="G11" s="5">
        <f t="shared" si="0"/>
        <v>-93.299999999995634</v>
      </c>
      <c r="H11" s="29">
        <f t="shared" si="1"/>
        <v>100.20085076336204</v>
      </c>
      <c r="J11" s="129"/>
      <c r="K11" s="130"/>
    </row>
    <row r="12" spans="1:11" ht="29.25" customHeight="1">
      <c r="A12" s="9" t="s">
        <v>3</v>
      </c>
      <c r="B12" s="4">
        <v>1013</v>
      </c>
      <c r="C12" s="5">
        <v>-8666.7999999999993</v>
      </c>
      <c r="D12" s="5">
        <v>-9812.1</v>
      </c>
      <c r="E12" s="208">
        <v>-10043.799999999999</v>
      </c>
      <c r="F12" s="5">
        <f t="shared" si="2"/>
        <v>-9812.1</v>
      </c>
      <c r="G12" s="5">
        <f t="shared" si="0"/>
        <v>231.69999999999891</v>
      </c>
      <c r="H12" s="29">
        <f t="shared" si="1"/>
        <v>97.693104203588305</v>
      </c>
      <c r="J12" s="129"/>
      <c r="K12" s="20"/>
    </row>
    <row r="13" spans="1:11" ht="29.25" customHeight="1">
      <c r="A13" s="9" t="s">
        <v>4</v>
      </c>
      <c r="B13" s="4">
        <v>1014</v>
      </c>
      <c r="C13" s="5">
        <v>-1636.3</v>
      </c>
      <c r="D13" s="5">
        <v>-1829.4</v>
      </c>
      <c r="E13" s="208"/>
      <c r="F13" s="5">
        <f t="shared" si="2"/>
        <v>-1829.4</v>
      </c>
      <c r="G13" s="5">
        <f t="shared" si="0"/>
        <v>-1829.4</v>
      </c>
      <c r="H13" s="346" t="e">
        <f t="shared" si="1"/>
        <v>#DIV/0!</v>
      </c>
      <c r="J13" s="129"/>
      <c r="K13" s="20"/>
    </row>
    <row r="14" spans="1:11" ht="30" customHeight="1">
      <c r="A14" s="9" t="s">
        <v>49</v>
      </c>
      <c r="B14" s="4">
        <v>1015</v>
      </c>
      <c r="C14" s="5">
        <v>-5188.8</v>
      </c>
      <c r="D14" s="5">
        <v>-7496.5</v>
      </c>
      <c r="E14" s="208">
        <v>-5122.1000000000004</v>
      </c>
      <c r="F14" s="5">
        <f t="shared" si="2"/>
        <v>-7496.5</v>
      </c>
      <c r="G14" s="5">
        <f t="shared" si="0"/>
        <v>-2374.3999999999996</v>
      </c>
      <c r="H14" s="29">
        <f t="shared" si="1"/>
        <v>146.35598680228813</v>
      </c>
      <c r="J14" s="129"/>
      <c r="K14" s="20"/>
    </row>
    <row r="15" spans="1:11" ht="28.5" customHeight="1">
      <c r="A15" s="7" t="s">
        <v>26</v>
      </c>
      <c r="B15" s="4">
        <v>1020</v>
      </c>
      <c r="C15" s="1">
        <f>SUM(C8:C9)</f>
        <v>-20111.700000000012</v>
      </c>
      <c r="D15" s="1">
        <f>SUM(D8:D9)</f>
        <v>-7835.1999999999971</v>
      </c>
      <c r="E15" s="207">
        <f>SUM(E8:E9)</f>
        <v>-8079.900000000016</v>
      </c>
      <c r="F15" s="1">
        <f>SUM(F8:F9)</f>
        <v>-7835.1999999999971</v>
      </c>
      <c r="G15" s="1">
        <f t="shared" si="0"/>
        <v>244.70000000001892</v>
      </c>
      <c r="H15" s="28">
        <f t="shared" si="1"/>
        <v>96.971497171994471</v>
      </c>
      <c r="J15" s="129"/>
      <c r="K15" s="20"/>
    </row>
    <row r="16" spans="1:11" ht="36" customHeight="1">
      <c r="A16" s="7" t="s">
        <v>87</v>
      </c>
      <c r="B16" s="3">
        <v>1020</v>
      </c>
      <c r="C16" s="1">
        <f>SUM(C17:C21)</f>
        <v>-5510.2000000000007</v>
      </c>
      <c r="D16" s="1">
        <f>SUM(D17:D21)</f>
        <v>-8669.9000000000015</v>
      </c>
      <c r="E16" s="207">
        <f>SUM(E17:E21)</f>
        <v>-4245.3</v>
      </c>
      <c r="F16" s="1">
        <f>SUM(F17:F21)</f>
        <v>-8669.9000000000015</v>
      </c>
      <c r="G16" s="1">
        <f t="shared" si="0"/>
        <v>-4424.6000000000013</v>
      </c>
      <c r="H16" s="28">
        <f t="shared" si="1"/>
        <v>204.22349421713429</v>
      </c>
      <c r="J16" s="129"/>
      <c r="K16" s="20"/>
    </row>
    <row r="17" spans="1:11" ht="27.75" customHeight="1">
      <c r="A17" s="9" t="s">
        <v>67</v>
      </c>
      <c r="B17" s="4">
        <v>1021</v>
      </c>
      <c r="C17" s="5"/>
      <c r="D17" s="5">
        <v>-83.5</v>
      </c>
      <c r="E17" s="208">
        <v>-35.5</v>
      </c>
      <c r="F17" s="5">
        <f>D17</f>
        <v>-83.5</v>
      </c>
      <c r="G17" s="5">
        <f t="shared" si="0"/>
        <v>-48</v>
      </c>
      <c r="H17" s="29">
        <f t="shared" si="1"/>
        <v>235.21126760563379</v>
      </c>
      <c r="J17" s="129"/>
      <c r="K17" s="20"/>
    </row>
    <row r="18" spans="1:11" ht="27.75" customHeight="1">
      <c r="A18" s="9" t="s">
        <v>2</v>
      </c>
      <c r="B18" s="4">
        <v>1022</v>
      </c>
      <c r="C18" s="5">
        <v>-4231.6000000000004</v>
      </c>
      <c r="D18" s="5">
        <v>-6402.3</v>
      </c>
      <c r="E18" s="208">
        <v>-3292.4</v>
      </c>
      <c r="F18" s="5">
        <f t="shared" ref="F18:F21" si="3">D18</f>
        <v>-6402.3</v>
      </c>
      <c r="G18" s="5">
        <f t="shared" si="0"/>
        <v>-3109.9</v>
      </c>
      <c r="H18" s="29">
        <f t="shared" si="1"/>
        <v>194.4569311140809</v>
      </c>
    </row>
    <row r="19" spans="1:11" ht="27.75" customHeight="1">
      <c r="A19" s="9" t="s">
        <v>3</v>
      </c>
      <c r="B19" s="4">
        <v>1023</v>
      </c>
      <c r="C19" s="5">
        <v>-920.2</v>
      </c>
      <c r="D19" s="5">
        <v>-1417.8</v>
      </c>
      <c r="E19" s="208">
        <v>-725.9</v>
      </c>
      <c r="F19" s="5">
        <f t="shared" si="3"/>
        <v>-1417.8</v>
      </c>
      <c r="G19" s="5">
        <f t="shared" si="0"/>
        <v>-691.9</v>
      </c>
      <c r="H19" s="29">
        <f t="shared" si="1"/>
        <v>195.31615925058549</v>
      </c>
    </row>
    <row r="20" spans="1:11" ht="27.75" customHeight="1">
      <c r="A20" s="9" t="s">
        <v>4</v>
      </c>
      <c r="B20" s="4">
        <v>1024</v>
      </c>
      <c r="C20" s="5">
        <v>-101.6</v>
      </c>
      <c r="D20" s="5">
        <v>-245.1</v>
      </c>
      <c r="E20" s="208"/>
      <c r="F20" s="5">
        <f t="shared" si="3"/>
        <v>-245.1</v>
      </c>
      <c r="G20" s="5">
        <f t="shared" si="0"/>
        <v>-245.1</v>
      </c>
      <c r="H20" s="29"/>
    </row>
    <row r="21" spans="1:11" ht="27.75" customHeight="1">
      <c r="A21" s="9" t="s">
        <v>68</v>
      </c>
      <c r="B21" s="4">
        <v>1025</v>
      </c>
      <c r="C21" s="5">
        <v>-256.8</v>
      </c>
      <c r="D21" s="5">
        <v>-521.20000000000005</v>
      </c>
      <c r="E21" s="208">
        <v>-191.5</v>
      </c>
      <c r="F21" s="5">
        <f t="shared" si="3"/>
        <v>-521.20000000000005</v>
      </c>
      <c r="G21" s="5">
        <f t="shared" si="0"/>
        <v>-329.70000000000005</v>
      </c>
      <c r="H21" s="29">
        <f t="shared" si="1"/>
        <v>272.16710182767628</v>
      </c>
    </row>
    <row r="22" spans="1:11" ht="38.25" customHeight="1">
      <c r="A22" s="7" t="s">
        <v>36</v>
      </c>
      <c r="B22" s="3">
        <v>1040</v>
      </c>
      <c r="C22" s="1">
        <f>SUM(C23:C24)</f>
        <v>27552.9</v>
      </c>
      <c r="D22" s="1">
        <f>SUM(D23:D24)</f>
        <v>18811.099999999999</v>
      </c>
      <c r="E22" s="207">
        <f>SUM(E23:E24)</f>
        <v>12673.5</v>
      </c>
      <c r="F22" s="1">
        <f>SUM(F23:F24)</f>
        <v>18811.099999999999</v>
      </c>
      <c r="G22" s="1">
        <f t="shared" si="0"/>
        <v>6137.5999999999985</v>
      </c>
      <c r="H22" s="28">
        <f t="shared" si="1"/>
        <v>148.42861088097209</v>
      </c>
    </row>
    <row r="23" spans="1:11" ht="30.75" customHeight="1">
      <c r="A23" s="9" t="s">
        <v>37</v>
      </c>
      <c r="B23" s="4">
        <v>1041</v>
      </c>
      <c r="C23" s="5"/>
      <c r="D23" s="5"/>
      <c r="E23" s="208"/>
      <c r="F23" s="5"/>
      <c r="G23" s="5">
        <f t="shared" si="0"/>
        <v>0</v>
      </c>
      <c r="H23" s="29"/>
    </row>
    <row r="24" spans="1:11" ht="33" customHeight="1">
      <c r="A24" s="9" t="s">
        <v>38</v>
      </c>
      <c r="B24" s="4">
        <v>1042</v>
      </c>
      <c r="C24" s="5">
        <v>27552.9</v>
      </c>
      <c r="D24" s="5">
        <v>18811.099999999999</v>
      </c>
      <c r="E24" s="208">
        <v>12673.5</v>
      </c>
      <c r="F24" s="5">
        <f>D24</f>
        <v>18811.099999999999</v>
      </c>
      <c r="G24" s="5">
        <f t="shared" si="0"/>
        <v>6137.5999999999985</v>
      </c>
      <c r="H24" s="29">
        <f t="shared" si="1"/>
        <v>148.42861088097209</v>
      </c>
    </row>
    <row r="25" spans="1:11" ht="40.5" customHeight="1">
      <c r="A25" s="7" t="s">
        <v>13</v>
      </c>
      <c r="B25" s="3">
        <v>1030</v>
      </c>
      <c r="C25" s="1">
        <f>SUM(C26:C30)</f>
        <v>-472.20000000000005</v>
      </c>
      <c r="D25" s="1">
        <f>SUM(D26:D30)</f>
        <v>-654.5</v>
      </c>
      <c r="E25" s="207">
        <f>SUM(E26:E30)</f>
        <v>-381.9</v>
      </c>
      <c r="F25" s="1">
        <f>SUM(F26:F30)</f>
        <v>-654.5</v>
      </c>
      <c r="G25" s="1">
        <f t="shared" si="0"/>
        <v>-272.60000000000002</v>
      </c>
      <c r="H25" s="28">
        <f t="shared" si="1"/>
        <v>171.37994239329669</v>
      </c>
    </row>
    <row r="26" spans="1:11" ht="27.75" customHeight="1">
      <c r="A26" s="9" t="s">
        <v>67</v>
      </c>
      <c r="B26" s="4">
        <v>1031</v>
      </c>
      <c r="C26" s="5">
        <v>-25.6</v>
      </c>
      <c r="D26" s="5" t="s">
        <v>27</v>
      </c>
      <c r="E26" s="208" t="s">
        <v>27</v>
      </c>
      <c r="F26" s="5" t="s">
        <v>27</v>
      </c>
      <c r="G26" s="5"/>
      <c r="H26" s="29"/>
    </row>
    <row r="27" spans="1:11" ht="27.75" customHeight="1">
      <c r="A27" s="9" t="s">
        <v>2</v>
      </c>
      <c r="B27" s="4">
        <v>1032</v>
      </c>
      <c r="C27" s="5">
        <v>-330.7</v>
      </c>
      <c r="D27" s="5">
        <v>-335.1</v>
      </c>
      <c r="E27" s="208">
        <v>-63</v>
      </c>
      <c r="F27" s="5">
        <f>D27</f>
        <v>-335.1</v>
      </c>
      <c r="G27" s="5">
        <f t="shared" si="0"/>
        <v>-272.10000000000002</v>
      </c>
      <c r="H27" s="29">
        <f t="shared" si="1"/>
        <v>531.90476190476193</v>
      </c>
    </row>
    <row r="28" spans="1:11" ht="27.75" customHeight="1">
      <c r="A28" s="9" t="s">
        <v>3</v>
      </c>
      <c r="B28" s="4">
        <v>1033</v>
      </c>
      <c r="C28" s="5"/>
      <c r="D28" s="5">
        <v>-143.9</v>
      </c>
      <c r="E28" s="208">
        <v>-48.4</v>
      </c>
      <c r="F28" s="5">
        <f t="shared" ref="F28:F30" si="4">D28</f>
        <v>-143.9</v>
      </c>
      <c r="G28" s="5">
        <f t="shared" si="0"/>
        <v>-95.5</v>
      </c>
      <c r="H28" s="29">
        <f t="shared" si="1"/>
        <v>297.31404958677689</v>
      </c>
    </row>
    <row r="29" spans="1:11" ht="27.75" customHeight="1">
      <c r="A29" s="9" t="s">
        <v>4</v>
      </c>
      <c r="B29" s="4">
        <v>1034</v>
      </c>
      <c r="C29" s="5"/>
      <c r="D29" s="5" t="s">
        <v>27</v>
      </c>
      <c r="E29" s="208" t="s">
        <v>27</v>
      </c>
      <c r="F29" s="5" t="str">
        <f t="shared" si="4"/>
        <v>(    )</v>
      </c>
      <c r="G29" s="5"/>
      <c r="H29" s="29"/>
    </row>
    <row r="30" spans="1:11" ht="27.75" customHeight="1">
      <c r="A30" s="9" t="s">
        <v>69</v>
      </c>
      <c r="B30" s="4">
        <v>1035</v>
      </c>
      <c r="C30" s="5">
        <v>-115.9</v>
      </c>
      <c r="D30" s="5">
        <v>-175.5</v>
      </c>
      <c r="E30" s="208">
        <v>-270.5</v>
      </c>
      <c r="F30" s="5">
        <f t="shared" si="4"/>
        <v>-175.5</v>
      </c>
      <c r="G30" s="5">
        <f t="shared" si="0"/>
        <v>95</v>
      </c>
      <c r="H30" s="29">
        <f t="shared" si="1"/>
        <v>64.879852125693162</v>
      </c>
    </row>
    <row r="31" spans="1:11" ht="47.25" customHeight="1">
      <c r="A31" s="7" t="s">
        <v>1</v>
      </c>
      <c r="B31" s="4">
        <v>1100</v>
      </c>
      <c r="C31" s="1">
        <f>SUM(C15,C16,C22,C25)</f>
        <v>1458.799999999989</v>
      </c>
      <c r="D31" s="1">
        <f>SUM(D15,D16,D22,D25)</f>
        <v>1651.5</v>
      </c>
      <c r="E31" s="207">
        <f>SUM(E15,E16,E22,E25)</f>
        <v>-33.600000000015257</v>
      </c>
      <c r="F31" s="1">
        <f>SUM(F15,F16,F22,F25)</f>
        <v>1651.5</v>
      </c>
      <c r="G31" s="1">
        <f t="shared" si="0"/>
        <v>1685.1000000000154</v>
      </c>
      <c r="H31" s="320">
        <f t="shared" si="1"/>
        <v>-4915.1785714263397</v>
      </c>
    </row>
    <row r="32" spans="1:11" ht="27.75" customHeight="1">
      <c r="A32" s="7" t="s">
        <v>123</v>
      </c>
      <c r="B32" s="3">
        <v>1130</v>
      </c>
      <c r="C32" s="1">
        <v>26.5</v>
      </c>
      <c r="D32" s="1">
        <v>30.1</v>
      </c>
      <c r="E32" s="207">
        <v>33.6</v>
      </c>
      <c r="F32" s="1">
        <f>D32</f>
        <v>30.1</v>
      </c>
      <c r="G32" s="1">
        <f t="shared" si="0"/>
        <v>-3.5</v>
      </c>
      <c r="H32" s="28">
        <f t="shared" si="1"/>
        <v>89.583333333333343</v>
      </c>
    </row>
    <row r="33" spans="1:12" ht="27.75" customHeight="1">
      <c r="A33" s="25" t="s">
        <v>124</v>
      </c>
      <c r="B33" s="3">
        <v>1140</v>
      </c>
      <c r="C33" s="1" t="s">
        <v>27</v>
      </c>
      <c r="D33" s="1"/>
      <c r="E33" s="208" t="s">
        <v>27</v>
      </c>
      <c r="F33" s="5" t="s">
        <v>27</v>
      </c>
      <c r="G33" s="1"/>
      <c r="H33" s="28"/>
    </row>
    <row r="34" spans="1:12" ht="27.75" customHeight="1">
      <c r="A34" s="7" t="s">
        <v>125</v>
      </c>
      <c r="B34" s="3">
        <v>1150</v>
      </c>
      <c r="C34" s="1">
        <v>1577.9</v>
      </c>
      <c r="D34" s="1">
        <v>1981.5</v>
      </c>
      <c r="E34" s="207"/>
      <c r="F34" s="1">
        <f>D34</f>
        <v>1981.5</v>
      </c>
      <c r="G34" s="1">
        <f t="shared" si="0"/>
        <v>1981.5</v>
      </c>
      <c r="H34" s="321" t="e">
        <f t="shared" si="1"/>
        <v>#DIV/0!</v>
      </c>
    </row>
    <row r="35" spans="1:12" ht="27.75" customHeight="1">
      <c r="A35" s="7" t="s">
        <v>126</v>
      </c>
      <c r="B35" s="3">
        <v>1160</v>
      </c>
      <c r="C35" s="1" t="s">
        <v>27</v>
      </c>
      <c r="D35" s="1" t="s">
        <v>27</v>
      </c>
      <c r="E35" s="208" t="s">
        <v>27</v>
      </c>
      <c r="F35" s="5" t="s">
        <v>27</v>
      </c>
      <c r="G35" s="1"/>
      <c r="H35" s="28"/>
    </row>
    <row r="36" spans="1:12" ht="28.5" customHeight="1">
      <c r="A36" s="7" t="s">
        <v>16</v>
      </c>
      <c r="B36" s="3">
        <v>1170</v>
      </c>
      <c r="C36" s="1">
        <f>SUM(C31, C32:C35)</f>
        <v>3063.1999999999889</v>
      </c>
      <c r="D36" s="1">
        <f>SUM(D31, D32:D35)</f>
        <v>3663.1</v>
      </c>
      <c r="E36" s="207">
        <f>SUM(E31, E32:E35)</f>
        <v>-1.5255352536769351E-11</v>
      </c>
      <c r="F36" s="1">
        <f>SUM(F31, F32:F35)</f>
        <v>3663.1</v>
      </c>
      <c r="G36" s="1">
        <f t="shared" ref="G36" si="5">F36-E36</f>
        <v>3663.1000000000154</v>
      </c>
      <c r="H36" s="321">
        <f t="shared" ref="H36" si="6">(F36/E36)*100</f>
        <v>-2.4011900027685236E+16</v>
      </c>
    </row>
    <row r="37" spans="1:12" ht="27.75" customHeight="1">
      <c r="A37" s="25" t="s">
        <v>29</v>
      </c>
      <c r="B37" s="4">
        <v>1180</v>
      </c>
      <c r="C37" s="5" t="s">
        <v>27</v>
      </c>
      <c r="D37" s="5" t="s">
        <v>27</v>
      </c>
      <c r="E37" s="208" t="s">
        <v>27</v>
      </c>
      <c r="F37" s="5" t="s">
        <v>27</v>
      </c>
      <c r="G37" s="5"/>
      <c r="H37" s="28"/>
    </row>
    <row r="38" spans="1:12" ht="27" customHeight="1">
      <c r="A38" s="25" t="s">
        <v>30</v>
      </c>
      <c r="B38" s="4">
        <v>1181</v>
      </c>
      <c r="C38" s="5"/>
      <c r="D38" s="5"/>
      <c r="E38" s="208"/>
      <c r="F38" s="5"/>
      <c r="G38" s="1"/>
      <c r="H38" s="28"/>
    </row>
    <row r="39" spans="1:12" ht="28.5" customHeight="1">
      <c r="A39" s="7" t="s">
        <v>45</v>
      </c>
      <c r="B39" s="4">
        <v>1200</v>
      </c>
      <c r="C39" s="1">
        <f>SUM(C36:C38)</f>
        <v>3063.1999999999889</v>
      </c>
      <c r="D39" s="1">
        <f>SUM(D36:D38)</f>
        <v>3663.1</v>
      </c>
      <c r="E39" s="207">
        <f>SUM(E36:E38)</f>
        <v>-1.5255352536769351E-11</v>
      </c>
      <c r="F39" s="1">
        <f>SUM(F36:F38)</f>
        <v>3663.1</v>
      </c>
      <c r="G39" s="1">
        <f t="shared" si="0"/>
        <v>3663.1000000000154</v>
      </c>
      <c r="H39" s="321">
        <f>(F39/E39)*100</f>
        <v>-2.4011900027685236E+16</v>
      </c>
    </row>
    <row r="40" spans="1:12" ht="35.25" customHeight="1">
      <c r="A40" s="25" t="s">
        <v>46</v>
      </c>
      <c r="B40" s="4">
        <v>1201</v>
      </c>
      <c r="C40" s="5"/>
      <c r="D40" s="5"/>
      <c r="E40" s="208"/>
      <c r="F40" s="5"/>
      <c r="G40" s="5"/>
      <c r="H40" s="346"/>
    </row>
    <row r="41" spans="1:12" ht="33" customHeight="1">
      <c r="A41" s="25" t="s">
        <v>47</v>
      </c>
      <c r="B41" s="4">
        <v>1202</v>
      </c>
      <c r="C41" s="5" t="s">
        <v>27</v>
      </c>
      <c r="D41" s="5" t="s">
        <v>27</v>
      </c>
      <c r="E41" s="208" t="s">
        <v>27</v>
      </c>
      <c r="F41" s="5" t="s">
        <v>27</v>
      </c>
      <c r="G41" s="5"/>
      <c r="H41" s="29"/>
    </row>
    <row r="42" spans="1:12" ht="33" customHeight="1">
      <c r="A42" s="7" t="s">
        <v>115</v>
      </c>
      <c r="B42" s="3">
        <v>1210</v>
      </c>
      <c r="C42" s="1">
        <f>SUM(C8,C22,C32,C34,C38)</f>
        <v>76001</v>
      </c>
      <c r="D42" s="1">
        <f>SUM(D8,D22,D32,D34,D38)</f>
        <v>95001.4</v>
      </c>
      <c r="E42" s="207">
        <f>SUM(E8,E22,E32,E34,E38)</f>
        <v>77582.700000000012</v>
      </c>
      <c r="F42" s="1">
        <f>SUM(F8,F22,F32,F34,F38)</f>
        <v>95001.4</v>
      </c>
      <c r="G42" s="1">
        <f t="shared" si="0"/>
        <v>17418.699999999983</v>
      </c>
      <c r="H42" s="28">
        <f t="shared" si="1"/>
        <v>122.45178370951253</v>
      </c>
    </row>
    <row r="43" spans="1:12" ht="33" customHeight="1" thickBot="1">
      <c r="A43" s="37" t="s">
        <v>116</v>
      </c>
      <c r="B43" s="38">
        <v>1220</v>
      </c>
      <c r="C43" s="34">
        <f>SUM(C9,C16,C25,C33,C35,C37)</f>
        <v>-72937.8</v>
      </c>
      <c r="D43" s="34">
        <f>SUM(D9,D16,D25,D33,D35,D37)</f>
        <v>-91338.299999999988</v>
      </c>
      <c r="E43" s="209">
        <f>SUM(E9,E16,E25,E33,E35,E37)</f>
        <v>-77582.700000000012</v>
      </c>
      <c r="F43" s="34">
        <f>SUM(F9,F16,F25,F33,F35,F37)</f>
        <v>-91338.299999999988</v>
      </c>
      <c r="G43" s="34">
        <f t="shared" si="0"/>
        <v>-13755.599999999977</v>
      </c>
      <c r="H43" s="35">
        <f t="shared" si="1"/>
        <v>117.73024140691155</v>
      </c>
    </row>
    <row r="44" spans="1:12" ht="33" customHeight="1" thickBot="1">
      <c r="A44" s="377" t="s">
        <v>130</v>
      </c>
      <c r="B44" s="378"/>
      <c r="C44" s="378"/>
      <c r="D44" s="378"/>
      <c r="E44" s="378"/>
      <c r="F44" s="378"/>
      <c r="G44" s="378"/>
      <c r="H44" s="379"/>
    </row>
    <row r="45" spans="1:12" ht="25.5" customHeight="1">
      <c r="A45" s="8" t="s">
        <v>55</v>
      </c>
      <c r="B45" s="265">
        <v>9000</v>
      </c>
      <c r="C45" s="316">
        <v>11302.8</v>
      </c>
      <c r="D45" s="316">
        <v>16413.7</v>
      </c>
      <c r="E45" s="317">
        <v>11372.7</v>
      </c>
      <c r="F45" s="316">
        <f>D45</f>
        <v>16413.7</v>
      </c>
      <c r="G45" s="318">
        <f t="shared" ref="G45:G50" si="7">F45-E45</f>
        <v>5041</v>
      </c>
      <c r="H45" s="319">
        <f t="shared" ref="H45:H50" si="8">(F45/E45)*100</f>
        <v>144.32544602425105</v>
      </c>
      <c r="I45" s="129"/>
      <c r="J45" s="179"/>
      <c r="K45" s="155"/>
      <c r="L45" s="155"/>
    </row>
    <row r="46" spans="1:12" ht="27" customHeight="1">
      <c r="A46" s="9" t="s">
        <v>2</v>
      </c>
      <c r="B46" s="219">
        <v>9010</v>
      </c>
      <c r="C46" s="5">
        <v>44748.6</v>
      </c>
      <c r="D46" s="5">
        <v>53283.1</v>
      </c>
      <c r="E46" s="208">
        <v>49807.8</v>
      </c>
      <c r="F46" s="5">
        <f t="shared" ref="F46:F49" si="9">D46</f>
        <v>53283.1</v>
      </c>
      <c r="G46" s="157">
        <f t="shared" si="7"/>
        <v>3475.2999999999956</v>
      </c>
      <c r="H46" s="158">
        <f t="shared" si="8"/>
        <v>106.97742120712017</v>
      </c>
      <c r="I46" s="129"/>
      <c r="J46" s="179"/>
      <c r="K46" s="155"/>
      <c r="L46" s="155"/>
    </row>
    <row r="47" spans="1:12" ht="27.75" customHeight="1">
      <c r="A47" s="9" t="s">
        <v>3</v>
      </c>
      <c r="B47" s="219">
        <v>9020</v>
      </c>
      <c r="C47" s="5">
        <v>9587</v>
      </c>
      <c r="D47" s="5">
        <v>11373.8</v>
      </c>
      <c r="E47" s="208">
        <v>10818</v>
      </c>
      <c r="F47" s="5">
        <f t="shared" si="9"/>
        <v>11373.8</v>
      </c>
      <c r="G47" s="157">
        <f t="shared" si="7"/>
        <v>555.79999999999927</v>
      </c>
      <c r="H47" s="158">
        <f t="shared" si="8"/>
        <v>105.13773340728414</v>
      </c>
      <c r="I47" s="129"/>
      <c r="J47" s="180"/>
      <c r="K47" s="131"/>
      <c r="L47" s="131"/>
    </row>
    <row r="48" spans="1:12" ht="27" customHeight="1">
      <c r="A48" s="9" t="s">
        <v>4</v>
      </c>
      <c r="B48" s="219">
        <v>9030</v>
      </c>
      <c r="C48" s="5">
        <v>1737.9</v>
      </c>
      <c r="D48" s="5">
        <v>2074.5</v>
      </c>
      <c r="E48" s="208"/>
      <c r="F48" s="5">
        <f t="shared" si="9"/>
        <v>2074.5</v>
      </c>
      <c r="G48" s="157">
        <f t="shared" si="7"/>
        <v>2074.5</v>
      </c>
      <c r="H48" s="158"/>
      <c r="I48" s="129"/>
      <c r="J48" s="180"/>
      <c r="K48" s="131"/>
      <c r="L48" s="131"/>
    </row>
    <row r="49" spans="1:12" ht="24" customHeight="1">
      <c r="A49" s="9" t="s">
        <v>6</v>
      </c>
      <c r="B49" s="219">
        <v>9040</v>
      </c>
      <c r="C49" s="5">
        <v>5561.5</v>
      </c>
      <c r="D49" s="5">
        <v>8193.2000000000007</v>
      </c>
      <c r="E49" s="208">
        <v>5584.2</v>
      </c>
      <c r="F49" s="5">
        <f t="shared" si="9"/>
        <v>8193.2000000000007</v>
      </c>
      <c r="G49" s="157">
        <f t="shared" si="7"/>
        <v>2609.0000000000009</v>
      </c>
      <c r="H49" s="158">
        <f t="shared" si="8"/>
        <v>146.72110597757961</v>
      </c>
      <c r="I49" s="129"/>
      <c r="J49" s="179"/>
      <c r="K49" s="155"/>
      <c r="L49" s="155"/>
    </row>
    <row r="50" spans="1:12" ht="27.75" customHeight="1" thickBot="1">
      <c r="A50" s="36" t="s">
        <v>9</v>
      </c>
      <c r="B50" s="33">
        <v>9050</v>
      </c>
      <c r="C50" s="34">
        <f>SUM(C45:C49)</f>
        <v>72937.799999999988</v>
      </c>
      <c r="D50" s="34">
        <f>SUM(D45:D49)</f>
        <v>91338.3</v>
      </c>
      <c r="E50" s="209">
        <f>SUM(E45:E49)</f>
        <v>77582.7</v>
      </c>
      <c r="F50" s="34">
        <f>SUM(F45:F49)</f>
        <v>91338.3</v>
      </c>
      <c r="G50" s="159">
        <f t="shared" si="7"/>
        <v>13755.600000000006</v>
      </c>
      <c r="H50" s="160">
        <f t="shared" si="8"/>
        <v>117.7302414069116</v>
      </c>
      <c r="I50" s="129"/>
      <c r="J50" s="130"/>
      <c r="K50" s="130"/>
      <c r="L50" s="130"/>
    </row>
    <row r="51" spans="1:12" ht="33" customHeight="1" thickBot="1">
      <c r="A51" s="386" t="s">
        <v>96</v>
      </c>
      <c r="B51" s="387"/>
      <c r="C51" s="387"/>
      <c r="D51" s="387"/>
      <c r="E51" s="387"/>
      <c r="F51" s="387"/>
      <c r="G51" s="387"/>
      <c r="H51" s="388"/>
    </row>
    <row r="52" spans="1:12" ht="69" customHeight="1">
      <c r="A52" s="311" t="s">
        <v>133</v>
      </c>
      <c r="B52" s="312">
        <v>2110</v>
      </c>
      <c r="C52" s="313">
        <f>SUM(C53:C56)</f>
        <v>-692</v>
      </c>
      <c r="D52" s="313">
        <f>SUM(D53:D56)</f>
        <v>-899.7</v>
      </c>
      <c r="E52" s="314">
        <f>SUM(E53:E56)</f>
        <v>-867.4</v>
      </c>
      <c r="F52" s="313">
        <f>SUM(F53:F56)</f>
        <v>-899.7</v>
      </c>
      <c r="G52" s="313">
        <f>F52-E52</f>
        <v>-32.300000000000068</v>
      </c>
      <c r="H52" s="315">
        <f>(F52/E52)*100</f>
        <v>103.72377219275999</v>
      </c>
    </row>
    <row r="53" spans="1:12" ht="44.25" customHeight="1">
      <c r="A53" s="9" t="s">
        <v>52</v>
      </c>
      <c r="B53" s="4">
        <v>2111</v>
      </c>
      <c r="C53" s="5">
        <v>-20.9</v>
      </c>
      <c r="D53" s="5">
        <v>-100.5</v>
      </c>
      <c r="E53" s="208">
        <v>-120.4</v>
      </c>
      <c r="F53" s="5">
        <f>D53</f>
        <v>-100.5</v>
      </c>
      <c r="G53" s="5">
        <f t="shared" ref="G53:G60" si="10">F53-E53</f>
        <v>19.900000000000006</v>
      </c>
      <c r="H53" s="29">
        <f t="shared" ref="H53:H68" si="11">(F53/E53)*100</f>
        <v>83.471760797342185</v>
      </c>
    </row>
    <row r="54" spans="1:12" ht="45.75" customHeight="1">
      <c r="A54" s="32" t="s">
        <v>53</v>
      </c>
      <c r="B54" s="4">
        <v>2112</v>
      </c>
      <c r="C54" s="5" t="s">
        <v>27</v>
      </c>
      <c r="D54" s="5" t="s">
        <v>27</v>
      </c>
      <c r="E54" s="208" t="s">
        <v>27</v>
      </c>
      <c r="F54" s="5" t="s">
        <v>27</v>
      </c>
      <c r="G54" s="5"/>
      <c r="H54" s="29"/>
    </row>
    <row r="55" spans="1:12" ht="28.5" customHeight="1">
      <c r="A55" s="9" t="s">
        <v>60</v>
      </c>
      <c r="B55" s="4">
        <v>2113</v>
      </c>
      <c r="C55" s="5">
        <v>-671.1</v>
      </c>
      <c r="D55" s="5">
        <v>-799.2</v>
      </c>
      <c r="E55" s="208">
        <v>-747</v>
      </c>
      <c r="F55" s="5">
        <v>-799.2</v>
      </c>
      <c r="G55" s="5">
        <f t="shared" si="10"/>
        <v>-52.200000000000045</v>
      </c>
      <c r="H55" s="29">
        <f t="shared" si="11"/>
        <v>106.98795180722894</v>
      </c>
    </row>
    <row r="56" spans="1:12" ht="33" customHeight="1">
      <c r="A56" s="9" t="s">
        <v>40</v>
      </c>
      <c r="B56" s="4">
        <v>2114</v>
      </c>
      <c r="C56" s="5" t="s">
        <v>27</v>
      </c>
      <c r="D56" s="5" t="s">
        <v>27</v>
      </c>
      <c r="E56" s="208" t="s">
        <v>27</v>
      </c>
      <c r="F56" s="5" t="s">
        <v>27</v>
      </c>
      <c r="G56" s="1"/>
      <c r="H56" s="29"/>
    </row>
    <row r="57" spans="1:12" ht="43.5" customHeight="1">
      <c r="A57" s="24" t="s">
        <v>57</v>
      </c>
      <c r="B57" s="6">
        <v>2120</v>
      </c>
      <c r="C57" s="1">
        <f>SUM(C58:C63)</f>
        <v>-8055.3</v>
      </c>
      <c r="D57" s="1">
        <f>SUM(D58:D63)</f>
        <v>-9586</v>
      </c>
      <c r="E57" s="207">
        <f>SUM(E58:E63)</f>
        <v>-8965.4000000000015</v>
      </c>
      <c r="F57" s="1">
        <f>SUM(F58:F63)</f>
        <v>-9586</v>
      </c>
      <c r="G57" s="1">
        <f t="shared" si="10"/>
        <v>-620.59999999999854</v>
      </c>
      <c r="H57" s="28">
        <f t="shared" si="11"/>
        <v>106.92216744372809</v>
      </c>
    </row>
    <row r="58" spans="1:12" ht="36" customHeight="1">
      <c r="A58" s="32" t="s">
        <v>39</v>
      </c>
      <c r="B58" s="219">
        <v>2121</v>
      </c>
      <c r="C58" s="5" t="s">
        <v>27</v>
      </c>
      <c r="D58" s="5" t="s">
        <v>27</v>
      </c>
      <c r="E58" s="208" t="s">
        <v>27</v>
      </c>
      <c r="F58" s="5" t="s">
        <v>27</v>
      </c>
      <c r="G58" s="1"/>
      <c r="H58" s="28"/>
    </row>
    <row r="59" spans="1:12" ht="33.75" customHeight="1">
      <c r="A59" s="9" t="s">
        <v>15</v>
      </c>
      <c r="B59" s="219">
        <v>2122</v>
      </c>
      <c r="C59" s="5">
        <v>-8054.7</v>
      </c>
      <c r="D59" s="5">
        <v>-9585.7000000000007</v>
      </c>
      <c r="E59" s="208">
        <v>-8965.2000000000007</v>
      </c>
      <c r="F59" s="5">
        <f>D59</f>
        <v>-9585.7000000000007</v>
      </c>
      <c r="G59" s="5">
        <f t="shared" si="10"/>
        <v>-620.5</v>
      </c>
      <c r="H59" s="29">
        <f t="shared" si="11"/>
        <v>106.92120644268952</v>
      </c>
    </row>
    <row r="60" spans="1:12" ht="31.5" customHeight="1">
      <c r="A60" s="9" t="s">
        <v>43</v>
      </c>
      <c r="B60" s="219">
        <v>2123</v>
      </c>
      <c r="C60" s="5">
        <v>-0.6</v>
      </c>
      <c r="D60" s="5">
        <v>-0.3</v>
      </c>
      <c r="E60" s="208">
        <v>-0.2</v>
      </c>
      <c r="F60" s="5">
        <f>D60</f>
        <v>-0.3</v>
      </c>
      <c r="G60" s="5">
        <f t="shared" si="10"/>
        <v>-9.9999999999999978E-2</v>
      </c>
      <c r="H60" s="29">
        <f t="shared" si="11"/>
        <v>149.99999999999997</v>
      </c>
    </row>
    <row r="61" spans="1:12" ht="31.5" customHeight="1">
      <c r="A61" s="9" t="s">
        <v>44</v>
      </c>
      <c r="B61" s="219">
        <v>2124</v>
      </c>
      <c r="C61" s="5" t="s">
        <v>27</v>
      </c>
      <c r="D61" s="5" t="s">
        <v>27</v>
      </c>
      <c r="E61" s="208" t="s">
        <v>27</v>
      </c>
      <c r="F61" s="5" t="s">
        <v>27</v>
      </c>
      <c r="G61" s="1"/>
      <c r="H61" s="29"/>
    </row>
    <row r="62" spans="1:12" ht="84.75" customHeight="1">
      <c r="A62" s="9" t="s">
        <v>117</v>
      </c>
      <c r="B62" s="219">
        <v>2125</v>
      </c>
      <c r="C62" s="5" t="s">
        <v>27</v>
      </c>
      <c r="D62" s="5" t="s">
        <v>27</v>
      </c>
      <c r="E62" s="208" t="s">
        <v>27</v>
      </c>
      <c r="F62" s="5" t="s">
        <v>27</v>
      </c>
      <c r="G62" s="1"/>
      <c r="H62" s="29"/>
    </row>
    <row r="63" spans="1:12" ht="31.5" customHeight="1">
      <c r="A63" s="9" t="s">
        <v>40</v>
      </c>
      <c r="B63" s="219">
        <v>2126</v>
      </c>
      <c r="C63" s="5" t="s">
        <v>27</v>
      </c>
      <c r="D63" s="5" t="s">
        <v>27</v>
      </c>
      <c r="E63" s="208" t="s">
        <v>27</v>
      </c>
      <c r="F63" s="5" t="s">
        <v>27</v>
      </c>
      <c r="G63" s="1"/>
      <c r="H63" s="29"/>
    </row>
    <row r="64" spans="1:12" ht="48" customHeight="1">
      <c r="A64" s="31" t="s">
        <v>58</v>
      </c>
      <c r="B64" s="6">
        <v>2130</v>
      </c>
      <c r="C64" s="1">
        <f>SUM(C65:C67)</f>
        <v>-9842.2000000000007</v>
      </c>
      <c r="D64" s="1">
        <f>SUM(D65:D67)</f>
        <v>-11664.199999999999</v>
      </c>
      <c r="E64" s="207">
        <f>SUM(E65:E67)</f>
        <v>-11084.9</v>
      </c>
      <c r="F64" s="1">
        <f>SUM(F65:F67)</f>
        <v>-11664.199999999999</v>
      </c>
      <c r="G64" s="1">
        <f>F64-E64</f>
        <v>-579.29999999999927</v>
      </c>
      <c r="H64" s="28">
        <f t="shared" si="11"/>
        <v>105.22602820052502</v>
      </c>
      <c r="J64" s="200"/>
    </row>
    <row r="65" spans="1:10" ht="33" customHeight="1">
      <c r="A65" s="9" t="s">
        <v>41</v>
      </c>
      <c r="B65" s="219">
        <v>2131</v>
      </c>
      <c r="C65" s="5" t="s">
        <v>27</v>
      </c>
      <c r="D65" s="5" t="s">
        <v>27</v>
      </c>
      <c r="E65" s="208" t="s">
        <v>27</v>
      </c>
      <c r="F65" s="5" t="s">
        <v>27</v>
      </c>
      <c r="G65" s="1"/>
      <c r="H65" s="29"/>
    </row>
    <row r="66" spans="1:10" ht="44.25" customHeight="1">
      <c r="A66" s="9" t="s">
        <v>42</v>
      </c>
      <c r="B66" s="219">
        <v>2132</v>
      </c>
      <c r="C66" s="5">
        <v>-9587</v>
      </c>
      <c r="D66" s="5">
        <v>-11373.8</v>
      </c>
      <c r="E66" s="208">
        <v>-10818</v>
      </c>
      <c r="F66" s="5">
        <f>D66</f>
        <v>-11373.8</v>
      </c>
      <c r="G66" s="5">
        <f t="shared" ref="G66:G68" si="12">F66-E66</f>
        <v>-555.79999999999927</v>
      </c>
      <c r="H66" s="29">
        <f t="shared" si="11"/>
        <v>105.13773340728414</v>
      </c>
      <c r="J66" s="200"/>
    </row>
    <row r="67" spans="1:10" ht="35.25" customHeight="1">
      <c r="A67" s="9" t="s">
        <v>655</v>
      </c>
      <c r="B67" s="219">
        <v>2133</v>
      </c>
      <c r="C67" s="5">
        <v>-255.2</v>
      </c>
      <c r="D67" s="5">
        <v>-290.39999999999998</v>
      </c>
      <c r="E67" s="208">
        <v>-266.89999999999998</v>
      </c>
      <c r="F67" s="5">
        <f>D67</f>
        <v>-290.39999999999998</v>
      </c>
      <c r="G67" s="1">
        <f t="shared" ref="G67" si="13">F67-E67</f>
        <v>-23.5</v>
      </c>
      <c r="H67" s="29">
        <f t="shared" ref="H67" si="14">(F67/E67)*100</f>
        <v>108.80479580367179</v>
      </c>
      <c r="I67" s="201"/>
    </row>
    <row r="68" spans="1:10" ht="30.75" customHeight="1" thickBot="1">
      <c r="A68" s="266" t="s">
        <v>54</v>
      </c>
      <c r="B68" s="267">
        <v>2200</v>
      </c>
      <c r="C68" s="268">
        <f>SUM(C52+C57+C64)</f>
        <v>-18589.5</v>
      </c>
      <c r="D68" s="268">
        <f>SUM(D52+D57+D64)</f>
        <v>-22149.9</v>
      </c>
      <c r="E68" s="269">
        <f>SUM(E52+E57+E64)</f>
        <v>-20917.7</v>
      </c>
      <c r="F68" s="268">
        <f>SUM(F52+F57+F64)</f>
        <v>-22149.9</v>
      </c>
      <c r="G68" s="268">
        <f t="shared" si="12"/>
        <v>-1232.2000000000007</v>
      </c>
      <c r="H68" s="270">
        <f t="shared" si="11"/>
        <v>105.89070500102784</v>
      </c>
    </row>
    <row r="69" spans="1:10" ht="30.75" customHeight="1" thickBot="1">
      <c r="A69" s="397" t="s">
        <v>683</v>
      </c>
      <c r="B69" s="398"/>
      <c r="C69" s="398"/>
      <c r="D69" s="398"/>
      <c r="E69" s="398"/>
      <c r="F69" s="398"/>
      <c r="G69" s="398"/>
      <c r="H69" s="398"/>
    </row>
    <row r="70" spans="1:10" ht="36" customHeight="1">
      <c r="A70" s="271" t="s">
        <v>656</v>
      </c>
      <c r="B70" s="272"/>
      <c r="C70" s="273"/>
      <c r="D70" s="273"/>
      <c r="E70" s="273"/>
      <c r="F70" s="273"/>
      <c r="G70" s="273"/>
      <c r="H70" s="274"/>
    </row>
    <row r="71" spans="1:10" ht="47.25" customHeight="1">
      <c r="A71" s="275" t="s">
        <v>684</v>
      </c>
      <c r="B71" s="92">
        <v>3000</v>
      </c>
      <c r="C71" s="276">
        <f>SUM(C72:C75)</f>
        <v>75773.200000000012</v>
      </c>
      <c r="D71" s="276">
        <f>SUM(D72:D75)</f>
        <v>90107</v>
      </c>
      <c r="E71" s="276">
        <f>SUM(E72:E75)</f>
        <v>77549.100000000006</v>
      </c>
      <c r="F71" s="276">
        <f>SUM(F72:F75)</f>
        <v>90107</v>
      </c>
      <c r="G71" s="276">
        <f t="shared" ref="G71" si="15">F71-E71</f>
        <v>12557.899999999994</v>
      </c>
      <c r="H71" s="277">
        <f t="shared" ref="H71" si="16">(F71/E71)*100</f>
        <v>116.19348258071338</v>
      </c>
    </row>
    <row r="72" spans="1:10" ht="42" customHeight="1">
      <c r="A72" s="278" t="s">
        <v>657</v>
      </c>
      <c r="B72" s="279">
        <v>3010</v>
      </c>
      <c r="C72" s="280">
        <f>'[36]Рух грошових коштів'!C8</f>
        <v>46868.6</v>
      </c>
      <c r="D72" s="280">
        <v>74178.7</v>
      </c>
      <c r="E72" s="280">
        <f>'[36]Рух грошових коштів'!D8</f>
        <v>64875.6</v>
      </c>
      <c r="F72" s="280">
        <f>D72</f>
        <v>74178.7</v>
      </c>
      <c r="G72" s="280">
        <f>E72-F72</f>
        <v>-9303.0999999999985</v>
      </c>
      <c r="H72" s="281">
        <f>(E72/F72)*100</f>
        <v>87.45852920043086</v>
      </c>
    </row>
    <row r="73" spans="1:10" ht="33" customHeight="1">
      <c r="A73" s="278" t="s">
        <v>685</v>
      </c>
      <c r="B73" s="279">
        <v>3020</v>
      </c>
      <c r="C73" s="280">
        <f>'[36]Рух грошових коштів'!C13</f>
        <v>28394</v>
      </c>
      <c r="D73" s="280">
        <v>15449.8</v>
      </c>
      <c r="E73" s="280">
        <f>'[36]Рух грошових коштів'!D13</f>
        <v>12639.9</v>
      </c>
      <c r="F73" s="280">
        <f>D73</f>
        <v>15449.8</v>
      </c>
      <c r="G73" s="280">
        <f t="shared" ref="G73:G91" si="17">E73-F73</f>
        <v>-2809.8999999999996</v>
      </c>
      <c r="H73" s="281">
        <f t="shared" ref="H73:H91" si="18">(E73/F73)*100</f>
        <v>81.812709549638186</v>
      </c>
    </row>
    <row r="74" spans="1:10" ht="43.5" customHeight="1">
      <c r="A74" s="9" t="s">
        <v>521</v>
      </c>
      <c r="B74" s="279">
        <v>3030</v>
      </c>
      <c r="C74" s="280">
        <v>17</v>
      </c>
      <c r="D74" s="280">
        <v>0</v>
      </c>
      <c r="E74" s="280"/>
      <c r="F74" s="280">
        <f t="shared" ref="F74:F75" si="19">D74</f>
        <v>0</v>
      </c>
      <c r="G74" s="280">
        <f t="shared" si="17"/>
        <v>0</v>
      </c>
      <c r="H74" s="347" t="e">
        <f t="shared" si="18"/>
        <v>#DIV/0!</v>
      </c>
    </row>
    <row r="75" spans="1:10" ht="33" customHeight="1">
      <c r="A75" s="282" t="s">
        <v>686</v>
      </c>
      <c r="B75" s="279">
        <v>3040</v>
      </c>
      <c r="C75" s="280">
        <f>'[36]Рух грошових коштів'!C17</f>
        <v>493.59999999999997</v>
      </c>
      <c r="D75" s="280">
        <v>478.5</v>
      </c>
      <c r="E75" s="280">
        <f>'[36]Рух грошових коштів'!D17</f>
        <v>33.6</v>
      </c>
      <c r="F75" s="280">
        <f t="shared" si="19"/>
        <v>478.5</v>
      </c>
      <c r="G75" s="280">
        <f t="shared" si="17"/>
        <v>-444.9</v>
      </c>
      <c r="H75" s="281">
        <f t="shared" si="18"/>
        <v>7.0219435736677118</v>
      </c>
    </row>
    <row r="76" spans="1:10" ht="45.75" customHeight="1">
      <c r="A76" s="275" t="s">
        <v>658</v>
      </c>
      <c r="B76" s="92">
        <v>3100</v>
      </c>
      <c r="C76" s="276">
        <f>SUM(C77:C79,C87,C88)</f>
        <v>-72972.399999999994</v>
      </c>
      <c r="D76" s="276">
        <f t="shared" ref="D76:F76" si="20">SUM(D77:D79,D87,D88)</f>
        <v>-90734.599999999991</v>
      </c>
      <c r="E76" s="276">
        <f t="shared" si="20"/>
        <v>-79981.7</v>
      </c>
      <c r="F76" s="276">
        <f t="shared" si="20"/>
        <v>-90734.599999999991</v>
      </c>
      <c r="G76" s="280">
        <f t="shared" si="17"/>
        <v>10752.899999999994</v>
      </c>
      <c r="H76" s="281">
        <f t="shared" si="18"/>
        <v>88.149063312121285</v>
      </c>
    </row>
    <row r="77" spans="1:10" ht="45.75" customHeight="1">
      <c r="A77" s="282" t="s">
        <v>687</v>
      </c>
      <c r="B77" s="279">
        <v>3110</v>
      </c>
      <c r="C77" s="280">
        <v>-18161.099999999999</v>
      </c>
      <c r="D77" s="280">
        <f>-20445-4625.9-204.8-199.2-346.6</f>
        <v>-25821.5</v>
      </c>
      <c r="E77" s="280">
        <v>-18952.400000000001</v>
      </c>
      <c r="F77" s="280">
        <f>D77</f>
        <v>-25821.5</v>
      </c>
      <c r="G77" s="280">
        <f t="shared" si="17"/>
        <v>6869.0999999999985</v>
      </c>
      <c r="H77" s="281">
        <f t="shared" si="18"/>
        <v>73.397749937067957</v>
      </c>
    </row>
    <row r="78" spans="1:10" ht="30.75" customHeight="1">
      <c r="A78" s="282" t="s">
        <v>688</v>
      </c>
      <c r="B78" s="279">
        <v>3120</v>
      </c>
      <c r="C78" s="280">
        <v>-35767.599999999999</v>
      </c>
      <c r="D78" s="280">
        <v>-42607.8</v>
      </c>
      <c r="E78" s="280">
        <v>-39828.699999999997</v>
      </c>
      <c r="F78" s="280">
        <f t="shared" ref="F78:F88" si="21">D78</f>
        <v>-42607.8</v>
      </c>
      <c r="G78" s="280">
        <f t="shared" si="17"/>
        <v>2779.1000000000058</v>
      </c>
      <c r="H78" s="281">
        <f t="shared" si="18"/>
        <v>93.477485343059243</v>
      </c>
    </row>
    <row r="79" spans="1:10" ht="39.75" customHeight="1">
      <c r="A79" s="283" t="s">
        <v>689</v>
      </c>
      <c r="B79" s="284">
        <v>3130</v>
      </c>
      <c r="C79" s="285">
        <f>SUM(C80:C88)</f>
        <v>-18689</v>
      </c>
      <c r="D79" s="285">
        <f>SUM(D80:D86)</f>
        <v>-21858.1</v>
      </c>
      <c r="E79" s="285">
        <v>-20776.900000000001</v>
      </c>
      <c r="F79" s="280">
        <f>D79</f>
        <v>-21858.1</v>
      </c>
      <c r="G79" s="280">
        <f t="shared" si="17"/>
        <v>1081.1999999999971</v>
      </c>
      <c r="H79" s="281">
        <f t="shared" si="18"/>
        <v>95.053549942584226</v>
      </c>
    </row>
    <row r="80" spans="1:10" ht="30.75" customHeight="1">
      <c r="A80" s="282" t="s">
        <v>39</v>
      </c>
      <c r="B80" s="279">
        <v>3131</v>
      </c>
      <c r="C80" s="280"/>
      <c r="D80" s="280"/>
      <c r="E80" s="280"/>
      <c r="F80" s="280">
        <f t="shared" si="21"/>
        <v>0</v>
      </c>
      <c r="G80" s="280">
        <f t="shared" si="17"/>
        <v>0</v>
      </c>
      <c r="H80" s="347" t="e">
        <f t="shared" si="18"/>
        <v>#DIV/0!</v>
      </c>
    </row>
    <row r="81" spans="1:8" ht="30.75" customHeight="1">
      <c r="A81" s="282" t="s">
        <v>690</v>
      </c>
      <c r="B81" s="279">
        <v>3132</v>
      </c>
      <c r="C81" s="280">
        <v>-20.9</v>
      </c>
      <c r="D81" s="280">
        <v>-99.1</v>
      </c>
      <c r="E81" s="280">
        <v>-120.4</v>
      </c>
      <c r="F81" s="280">
        <f t="shared" si="21"/>
        <v>-99.1</v>
      </c>
      <c r="G81" s="280">
        <f t="shared" si="17"/>
        <v>-21.300000000000011</v>
      </c>
      <c r="H81" s="281">
        <f t="shared" si="18"/>
        <v>121.49344096871847</v>
      </c>
    </row>
    <row r="82" spans="1:8" ht="30.75" customHeight="1">
      <c r="A82" s="282" t="s">
        <v>15</v>
      </c>
      <c r="B82" s="279">
        <v>3133</v>
      </c>
      <c r="C82" s="280">
        <f>C59</f>
        <v>-8054.7</v>
      </c>
      <c r="D82" s="280">
        <f>D59</f>
        <v>-9585.7000000000007</v>
      </c>
      <c r="E82" s="280">
        <f>E59</f>
        <v>-8965.2000000000007</v>
      </c>
      <c r="F82" s="280">
        <f t="shared" si="21"/>
        <v>-9585.7000000000007</v>
      </c>
      <c r="G82" s="280">
        <f t="shared" si="17"/>
        <v>620.5</v>
      </c>
      <c r="H82" s="281">
        <f>(E82/F82)*100</f>
        <v>93.526815986312954</v>
      </c>
    </row>
    <row r="83" spans="1:8" ht="30.75" customHeight="1">
      <c r="A83" s="282" t="s">
        <v>43</v>
      </c>
      <c r="B83" s="279">
        <v>3134</v>
      </c>
      <c r="C83" s="280">
        <f>C60</f>
        <v>-0.6</v>
      </c>
      <c r="D83" s="280">
        <f>D60</f>
        <v>-0.3</v>
      </c>
      <c r="E83" s="280">
        <f t="shared" ref="E83" si="22">E60</f>
        <v>-0.2</v>
      </c>
      <c r="F83" s="280">
        <f t="shared" si="21"/>
        <v>-0.3</v>
      </c>
      <c r="G83" s="280">
        <f t="shared" si="17"/>
        <v>9.9999999999999978E-2</v>
      </c>
      <c r="H83" s="281">
        <f t="shared" si="18"/>
        <v>66.666666666666671</v>
      </c>
    </row>
    <row r="84" spans="1:8" ht="30.75" customHeight="1">
      <c r="A84" s="282" t="s">
        <v>44</v>
      </c>
      <c r="B84" s="279">
        <v>3135</v>
      </c>
      <c r="C84" s="280"/>
      <c r="D84" s="280"/>
      <c r="E84" s="280"/>
      <c r="F84" s="280">
        <f t="shared" si="21"/>
        <v>0</v>
      </c>
      <c r="G84" s="280">
        <f t="shared" si="17"/>
        <v>0</v>
      </c>
      <c r="H84" s="347" t="e">
        <f t="shared" si="18"/>
        <v>#DIV/0!</v>
      </c>
    </row>
    <row r="85" spans="1:8" ht="30.75" customHeight="1">
      <c r="A85" s="282" t="s">
        <v>60</v>
      </c>
      <c r="B85" s="279">
        <v>3136</v>
      </c>
      <c r="C85" s="280">
        <f>C55</f>
        <v>-671.1</v>
      </c>
      <c r="D85" s="280">
        <f>D55</f>
        <v>-799.2</v>
      </c>
      <c r="E85" s="280">
        <f t="shared" ref="E85" si="23">E55</f>
        <v>-747</v>
      </c>
      <c r="F85" s="280">
        <f t="shared" si="21"/>
        <v>-799.2</v>
      </c>
      <c r="G85" s="280">
        <f t="shared" si="17"/>
        <v>52.200000000000045</v>
      </c>
      <c r="H85" s="281">
        <f t="shared" si="18"/>
        <v>93.468468468468473</v>
      </c>
    </row>
    <row r="86" spans="1:8" ht="41.25" customHeight="1">
      <c r="A86" s="282" t="s">
        <v>691</v>
      </c>
      <c r="B86" s="279">
        <v>3137</v>
      </c>
      <c r="C86" s="280">
        <f>C66</f>
        <v>-9587</v>
      </c>
      <c r="D86" s="280">
        <f>D66</f>
        <v>-11373.8</v>
      </c>
      <c r="E86" s="280">
        <f t="shared" ref="E86:E87" si="24">E66</f>
        <v>-10818</v>
      </c>
      <c r="F86" s="280">
        <f t="shared" si="21"/>
        <v>-11373.8</v>
      </c>
      <c r="G86" s="280">
        <f t="shared" si="17"/>
        <v>555.79999999999927</v>
      </c>
      <c r="H86" s="281">
        <f t="shared" si="18"/>
        <v>95.113330637078207</v>
      </c>
    </row>
    <row r="87" spans="1:8" ht="30.75" customHeight="1">
      <c r="A87" s="282" t="s">
        <v>692</v>
      </c>
      <c r="B87" s="279">
        <v>3138</v>
      </c>
      <c r="C87" s="280">
        <f>C67</f>
        <v>-255.2</v>
      </c>
      <c r="D87" s="280">
        <f>D67</f>
        <v>-290.39999999999998</v>
      </c>
      <c r="E87" s="280">
        <f t="shared" si="24"/>
        <v>-266.89999999999998</v>
      </c>
      <c r="F87" s="280">
        <f t="shared" si="21"/>
        <v>-290.39999999999998</v>
      </c>
      <c r="G87" s="280">
        <f t="shared" si="17"/>
        <v>23.5</v>
      </c>
      <c r="H87" s="281">
        <f t="shared" si="18"/>
        <v>91.907713498622584</v>
      </c>
    </row>
    <row r="88" spans="1:8" ht="30.75" customHeight="1">
      <c r="A88" s="278" t="s">
        <v>49</v>
      </c>
      <c r="B88" s="279">
        <v>3139</v>
      </c>
      <c r="C88" s="280">
        <v>-99.5</v>
      </c>
      <c r="D88" s="280">
        <v>-156.80000000000001</v>
      </c>
      <c r="E88" s="280">
        <v>-156.80000000000001</v>
      </c>
      <c r="F88" s="280">
        <f t="shared" si="21"/>
        <v>-156.80000000000001</v>
      </c>
      <c r="G88" s="280">
        <f t="shared" si="17"/>
        <v>0</v>
      </c>
      <c r="H88" s="281">
        <f t="shared" si="18"/>
        <v>100</v>
      </c>
    </row>
    <row r="89" spans="1:8" ht="30.75" customHeight="1">
      <c r="A89" s="286" t="s">
        <v>693</v>
      </c>
      <c r="B89" s="287">
        <v>3160</v>
      </c>
      <c r="C89" s="288">
        <f>SUM(C71,C76)</f>
        <v>2800.8000000000175</v>
      </c>
      <c r="D89" s="288">
        <f>SUM(D71,D76)</f>
        <v>-627.59999999999127</v>
      </c>
      <c r="E89" s="288">
        <f>SUM(E71,E76)</f>
        <v>-2432.5999999999913</v>
      </c>
      <c r="F89" s="288">
        <f>SUM(F71,F76)</f>
        <v>-627.59999999999127</v>
      </c>
      <c r="G89" s="280">
        <f t="shared" si="17"/>
        <v>-1805</v>
      </c>
      <c r="H89" s="281">
        <f t="shared" si="18"/>
        <v>387.60356915233035</v>
      </c>
    </row>
    <row r="90" spans="1:8" ht="42.75" customHeight="1">
      <c r="A90" s="289" t="s">
        <v>659</v>
      </c>
      <c r="B90" s="206"/>
      <c r="C90" s="290"/>
      <c r="D90" s="276">
        <f>'[36]Рух грошових коштів'!D28</f>
        <v>0</v>
      </c>
      <c r="E90" s="290"/>
      <c r="F90" s="290"/>
      <c r="G90" s="280">
        <f t="shared" si="17"/>
        <v>0</v>
      </c>
      <c r="H90" s="347" t="e">
        <f>(E90/F90)*100</f>
        <v>#DIV/0!</v>
      </c>
    </row>
    <row r="91" spans="1:8" ht="39.75" customHeight="1">
      <c r="A91" s="286" t="s">
        <v>660</v>
      </c>
      <c r="B91" s="287">
        <v>3200</v>
      </c>
      <c r="C91" s="288">
        <f>'[36]Рух грошових коштів'!C28</f>
        <v>9723.7999999999993</v>
      </c>
      <c r="D91" s="325">
        <f>D92</f>
        <v>204.8</v>
      </c>
      <c r="E91" s="288">
        <v>0</v>
      </c>
      <c r="F91" s="288">
        <f>F92</f>
        <v>204.8</v>
      </c>
      <c r="G91" s="280">
        <f t="shared" si="17"/>
        <v>-204.8</v>
      </c>
      <c r="H91" s="281">
        <f t="shared" si="18"/>
        <v>0</v>
      </c>
    </row>
    <row r="92" spans="1:8" ht="36.75" customHeight="1">
      <c r="A92" s="291" t="s">
        <v>694</v>
      </c>
      <c r="B92" s="206">
        <v>3210</v>
      </c>
      <c r="C92" s="290">
        <f>'[36]Рух грошових коштів'!C29</f>
        <v>9723.7999999999993</v>
      </c>
      <c r="D92" s="290">
        <v>204.8</v>
      </c>
      <c r="E92" s="290">
        <v>0</v>
      </c>
      <c r="F92" s="290">
        <v>204.8</v>
      </c>
      <c r="G92" s="280">
        <f t="shared" ref="G92:G94" si="25">E92-F92</f>
        <v>-204.8</v>
      </c>
      <c r="H92" s="281">
        <f t="shared" ref="H92:H94" si="26">(E92/F92)*100</f>
        <v>0</v>
      </c>
    </row>
    <row r="93" spans="1:8" ht="44.25" customHeight="1">
      <c r="A93" s="286" t="s">
        <v>661</v>
      </c>
      <c r="B93" s="287">
        <v>3255</v>
      </c>
      <c r="C93" s="288">
        <f>SUM(C94,C101)</f>
        <v>-10136.1</v>
      </c>
      <c r="D93" s="288">
        <f>SUM(D94,D101)</f>
        <v>-1777</v>
      </c>
      <c r="E93" s="288">
        <f>SUM(E94,E101)</f>
        <v>-136.1</v>
      </c>
      <c r="F93" s="288">
        <f>SUM(F94,F101)</f>
        <v>-1777</v>
      </c>
      <c r="G93" s="280">
        <f t="shared" si="25"/>
        <v>1640.9</v>
      </c>
      <c r="H93" s="281">
        <f t="shared" si="26"/>
        <v>7.6589758019133374</v>
      </c>
    </row>
    <row r="94" spans="1:8" ht="42" customHeight="1">
      <c r="A94" s="292" t="s">
        <v>662</v>
      </c>
      <c r="B94" s="293">
        <v>3260</v>
      </c>
      <c r="C94" s="294">
        <f>SUM(C95:C100)</f>
        <v>-10136.1</v>
      </c>
      <c r="D94" s="294">
        <f t="shared" ref="D94:F94" si="27">SUM(D95:D100)</f>
        <v>-1777</v>
      </c>
      <c r="E94" s="294">
        <f>SUM(E95:E100)</f>
        <v>-136.1</v>
      </c>
      <c r="F94" s="294">
        <f t="shared" si="27"/>
        <v>-1777</v>
      </c>
      <c r="G94" s="294">
        <f t="shared" si="25"/>
        <v>1640.9</v>
      </c>
      <c r="H94" s="281">
        <f t="shared" si="26"/>
        <v>7.6589758019133374</v>
      </c>
    </row>
    <row r="95" spans="1:8" ht="30.75" customHeight="1">
      <c r="A95" s="295" t="s">
        <v>61</v>
      </c>
      <c r="B95" s="206">
        <v>3265</v>
      </c>
      <c r="C95" s="290"/>
      <c r="D95" s="290"/>
      <c r="E95" s="290"/>
      <c r="F95" s="290">
        <f>G95+H95+I95+J95</f>
        <v>0</v>
      </c>
      <c r="G95" s="290"/>
      <c r="H95" s="281"/>
    </row>
    <row r="96" spans="1:8" ht="42" customHeight="1">
      <c r="A96" s="282" t="s">
        <v>695</v>
      </c>
      <c r="B96" s="206">
        <v>3266</v>
      </c>
      <c r="C96" s="290">
        <v>-5896.8</v>
      </c>
      <c r="D96" s="290">
        <v>-927</v>
      </c>
      <c r="E96" s="290">
        <v>-136.1</v>
      </c>
      <c r="F96" s="290">
        <f>D96</f>
        <v>-927</v>
      </c>
      <c r="G96" s="290">
        <f>E96-F96</f>
        <v>790.9</v>
      </c>
      <c r="H96" s="281">
        <f>(E96*F96)/100</f>
        <v>1261.6469999999999</v>
      </c>
    </row>
    <row r="97" spans="1:8" ht="39.75" customHeight="1">
      <c r="A97" s="282" t="s">
        <v>70</v>
      </c>
      <c r="B97" s="206">
        <v>3267</v>
      </c>
      <c r="C97" s="290">
        <v>-562</v>
      </c>
      <c r="D97" s="290">
        <v>-297.7</v>
      </c>
      <c r="E97" s="290">
        <v>0</v>
      </c>
      <c r="F97" s="290">
        <f t="shared" ref="F97:F101" si="28">D97</f>
        <v>-297.7</v>
      </c>
      <c r="G97" s="290">
        <f t="shared" ref="G97:G104" si="29">E97-F97</f>
        <v>297.7</v>
      </c>
      <c r="H97" s="281">
        <f t="shared" ref="H97:H103" si="30">(E97*F97)/100</f>
        <v>0</v>
      </c>
    </row>
    <row r="98" spans="1:8" ht="47.25" customHeight="1">
      <c r="A98" s="349" t="s">
        <v>696</v>
      </c>
      <c r="B98" s="323">
        <v>3268</v>
      </c>
      <c r="C98" s="280"/>
      <c r="D98" s="280"/>
      <c r="E98" s="280"/>
      <c r="F98" s="280">
        <f t="shared" si="28"/>
        <v>0</v>
      </c>
      <c r="G98" s="280">
        <f t="shared" si="29"/>
        <v>0</v>
      </c>
      <c r="H98" s="280">
        <f t="shared" si="30"/>
        <v>0</v>
      </c>
    </row>
    <row r="99" spans="1:8" ht="66" customHeight="1">
      <c r="A99" s="282" t="s">
        <v>62</v>
      </c>
      <c r="B99" s="206">
        <v>3269</v>
      </c>
      <c r="C99" s="290">
        <v>-2563.8000000000002</v>
      </c>
      <c r="D99" s="290">
        <v>0</v>
      </c>
      <c r="E99" s="290">
        <v>0</v>
      </c>
      <c r="F99" s="290">
        <f t="shared" si="28"/>
        <v>0</v>
      </c>
      <c r="G99" s="290">
        <f t="shared" si="29"/>
        <v>0</v>
      </c>
      <c r="H99" s="281">
        <f t="shared" si="30"/>
        <v>0</v>
      </c>
    </row>
    <row r="100" spans="1:8" ht="36" customHeight="1">
      <c r="A100" s="282" t="s">
        <v>63</v>
      </c>
      <c r="B100" s="206">
        <v>3270</v>
      </c>
      <c r="C100" s="290">
        <v>-1113.5</v>
      </c>
      <c r="D100" s="290">
        <v>-552.29999999999995</v>
      </c>
      <c r="E100" s="290">
        <v>0</v>
      </c>
      <c r="F100" s="290">
        <f t="shared" si="28"/>
        <v>-552.29999999999995</v>
      </c>
      <c r="G100" s="290">
        <f t="shared" si="29"/>
        <v>552.29999999999995</v>
      </c>
      <c r="H100" s="281">
        <f t="shared" ref="H100" si="31">(E100/F100)*100</f>
        <v>0</v>
      </c>
    </row>
    <row r="101" spans="1:8" ht="32.25" customHeight="1">
      <c r="A101" s="282" t="s">
        <v>49</v>
      </c>
      <c r="B101" s="206">
        <v>3280</v>
      </c>
      <c r="C101" s="290"/>
      <c r="D101" s="290"/>
      <c r="E101" s="290"/>
      <c r="F101" s="290">
        <f t="shared" si="28"/>
        <v>0</v>
      </c>
      <c r="G101" s="290">
        <f t="shared" si="29"/>
        <v>0</v>
      </c>
      <c r="H101" s="281">
        <f t="shared" si="30"/>
        <v>0</v>
      </c>
    </row>
    <row r="102" spans="1:8" ht="42" customHeight="1">
      <c r="A102" s="296" t="s">
        <v>697</v>
      </c>
      <c r="B102" s="287">
        <v>3295</v>
      </c>
      <c r="C102" s="288">
        <f>SUM(C91,C93)</f>
        <v>-412.30000000000109</v>
      </c>
      <c r="D102" s="288">
        <f>SUM(D91,D93)</f>
        <v>-1572.2</v>
      </c>
      <c r="E102" s="288">
        <f>SUM(E91,E93)</f>
        <v>-136.1</v>
      </c>
      <c r="F102" s="288">
        <f>SUM(F91,F93)</f>
        <v>-1572.2</v>
      </c>
      <c r="G102" s="290">
        <f t="shared" si="29"/>
        <v>1436.1000000000001</v>
      </c>
      <c r="H102" s="281">
        <f t="shared" si="30"/>
        <v>2139.7641999999996</v>
      </c>
    </row>
    <row r="103" spans="1:8" ht="51" customHeight="1">
      <c r="A103" s="297" t="s">
        <v>663</v>
      </c>
      <c r="B103" s="287"/>
      <c r="C103" s="288"/>
      <c r="D103" s="288"/>
      <c r="E103" s="288"/>
      <c r="F103" s="288"/>
      <c r="G103" s="290">
        <f t="shared" si="29"/>
        <v>0</v>
      </c>
      <c r="H103" s="281">
        <f t="shared" si="30"/>
        <v>0</v>
      </c>
    </row>
    <row r="104" spans="1:8" ht="39.75" customHeight="1">
      <c r="A104" s="296" t="s">
        <v>664</v>
      </c>
      <c r="B104" s="287">
        <v>3300</v>
      </c>
      <c r="C104" s="288">
        <f>SUM(C105:C108)</f>
        <v>26.5</v>
      </c>
      <c r="D104" s="288">
        <f t="shared" ref="D104:F104" si="32">SUM(D105:D108)</f>
        <v>33.6</v>
      </c>
      <c r="E104" s="288">
        <f t="shared" si="32"/>
        <v>33.6</v>
      </c>
      <c r="F104" s="288">
        <f t="shared" si="32"/>
        <v>33.6</v>
      </c>
      <c r="G104" s="290">
        <f t="shared" si="29"/>
        <v>0</v>
      </c>
      <c r="H104" s="281">
        <f t="shared" ref="H104" si="33">(E104/F104)*100</f>
        <v>100</v>
      </c>
    </row>
    <row r="105" spans="1:8" ht="30.75" customHeight="1">
      <c r="A105" s="282" t="s">
        <v>698</v>
      </c>
      <c r="B105" s="206">
        <v>3310</v>
      </c>
      <c r="C105" s="290"/>
      <c r="D105" s="290"/>
      <c r="E105" s="290"/>
      <c r="F105" s="288">
        <f t="shared" ref="F105:F113" si="34">SUM(G105:J105)</f>
        <v>0</v>
      </c>
      <c r="G105" s="290"/>
      <c r="H105" s="281"/>
    </row>
    <row r="106" spans="1:8" ht="45" customHeight="1">
      <c r="A106" s="282" t="s">
        <v>353</v>
      </c>
      <c r="B106" s="206">
        <v>3320</v>
      </c>
      <c r="C106" s="290"/>
      <c r="D106" s="290"/>
      <c r="E106" s="290"/>
      <c r="F106" s="288">
        <f t="shared" si="34"/>
        <v>0</v>
      </c>
      <c r="G106" s="290"/>
      <c r="H106" s="281"/>
    </row>
    <row r="107" spans="1:8" ht="46.5" customHeight="1">
      <c r="A107" s="282" t="s">
        <v>699</v>
      </c>
      <c r="B107" s="206">
        <v>3330</v>
      </c>
      <c r="C107" s="290"/>
      <c r="D107" s="290"/>
      <c r="E107" s="290"/>
      <c r="F107" s="288">
        <f t="shared" si="34"/>
        <v>0</v>
      </c>
      <c r="G107" s="290"/>
      <c r="H107" s="281"/>
    </row>
    <row r="108" spans="1:8" ht="30.75" customHeight="1">
      <c r="A108" s="282" t="s">
        <v>686</v>
      </c>
      <c r="B108" s="206">
        <v>3340</v>
      </c>
      <c r="C108" s="290">
        <f>'[36]Рух грошових коштів'!C242</f>
        <v>26.5</v>
      </c>
      <c r="D108" s="290">
        <f>'[36]Рух грошових коштів'!D242</f>
        <v>33.6</v>
      </c>
      <c r="E108" s="290">
        <v>33.6</v>
      </c>
      <c r="F108" s="290">
        <v>33.6</v>
      </c>
      <c r="G108" s="290">
        <f t="shared" ref="G108" si="35">E108-F108</f>
        <v>0</v>
      </c>
      <c r="H108" s="281">
        <f t="shared" ref="H108" si="36">(E108/F108)*100</f>
        <v>100</v>
      </c>
    </row>
    <row r="109" spans="1:8" ht="38.25" customHeight="1">
      <c r="A109" s="298" t="s">
        <v>700</v>
      </c>
      <c r="B109" s="287">
        <v>3345</v>
      </c>
      <c r="C109" s="288">
        <f t="shared" ref="C109:E109" si="37">SUM(C110:C113)</f>
        <v>0</v>
      </c>
      <c r="D109" s="288">
        <f t="shared" si="37"/>
        <v>0</v>
      </c>
      <c r="E109" s="288">
        <f t="shared" si="37"/>
        <v>0</v>
      </c>
      <c r="F109" s="288">
        <f t="shared" si="34"/>
        <v>0</v>
      </c>
      <c r="G109" s="290"/>
      <c r="H109" s="299"/>
    </row>
    <row r="110" spans="1:8" ht="43.5" customHeight="1">
      <c r="A110" s="282" t="s">
        <v>701</v>
      </c>
      <c r="B110" s="206">
        <v>3350</v>
      </c>
      <c r="C110" s="288"/>
      <c r="D110" s="288"/>
      <c r="E110" s="288"/>
      <c r="F110" s="288">
        <f t="shared" si="34"/>
        <v>0</v>
      </c>
      <c r="G110" s="290"/>
      <c r="H110" s="299"/>
    </row>
    <row r="111" spans="1:8" ht="34.5" customHeight="1">
      <c r="A111" s="282" t="s">
        <v>702</v>
      </c>
      <c r="B111" s="206">
        <v>3355</v>
      </c>
      <c r="C111" s="288"/>
      <c r="D111" s="288"/>
      <c r="E111" s="288"/>
      <c r="F111" s="288">
        <f t="shared" si="34"/>
        <v>0</v>
      </c>
      <c r="G111" s="290"/>
      <c r="H111" s="299"/>
    </row>
    <row r="112" spans="1:8" ht="45.75" customHeight="1">
      <c r="A112" s="282" t="s">
        <v>703</v>
      </c>
      <c r="B112" s="206">
        <v>3360</v>
      </c>
      <c r="C112" s="288"/>
      <c r="D112" s="288"/>
      <c r="E112" s="288"/>
      <c r="F112" s="288">
        <f t="shared" si="34"/>
        <v>0</v>
      </c>
      <c r="G112" s="290"/>
      <c r="H112" s="299"/>
    </row>
    <row r="113" spans="1:8" ht="30.75" customHeight="1">
      <c r="A113" s="282" t="s">
        <v>49</v>
      </c>
      <c r="B113" s="206">
        <v>3365</v>
      </c>
      <c r="C113" s="288"/>
      <c r="D113" s="288"/>
      <c r="E113" s="288"/>
      <c r="F113" s="288">
        <f t="shared" si="34"/>
        <v>0</v>
      </c>
      <c r="G113" s="290"/>
      <c r="H113" s="299"/>
    </row>
    <row r="114" spans="1:8" ht="30.75" customHeight="1">
      <c r="A114" s="298" t="s">
        <v>704</v>
      </c>
      <c r="B114" s="287">
        <v>3370</v>
      </c>
      <c r="C114" s="288">
        <f t="shared" ref="C114:E114" si="38">SUM(C104,C109)</f>
        <v>26.5</v>
      </c>
      <c r="D114" s="288">
        <f t="shared" si="38"/>
        <v>33.6</v>
      </c>
      <c r="E114" s="288">
        <f t="shared" si="38"/>
        <v>33.6</v>
      </c>
      <c r="F114" s="288">
        <f>SUM(F104,F109)</f>
        <v>33.6</v>
      </c>
      <c r="G114" s="290">
        <f t="shared" ref="G114:G117" si="39">E114-F114</f>
        <v>0</v>
      </c>
      <c r="H114" s="299">
        <f t="shared" ref="H114:H117" si="40">(E114/F114)*100</f>
        <v>100</v>
      </c>
    </row>
    <row r="115" spans="1:8" ht="30.75" customHeight="1">
      <c r="A115" s="348" t="s">
        <v>705</v>
      </c>
      <c r="B115" s="102">
        <v>3400</v>
      </c>
      <c r="C115" s="276">
        <f>SUM(C89,C102,C114)</f>
        <v>2415.0000000000164</v>
      </c>
      <c r="D115" s="276">
        <f t="shared" ref="D115" si="41">SUM(D89,D102,D114)</f>
        <v>-2166.1999999999912</v>
      </c>
      <c r="E115" s="276">
        <f>SUM(E89,E102,E114)</f>
        <v>-2535.0999999999913</v>
      </c>
      <c r="F115" s="276">
        <f>SUM(F89,F102,F114)</f>
        <v>-2166.1999999999912</v>
      </c>
      <c r="G115" s="280">
        <f t="shared" si="39"/>
        <v>-368.90000000000009</v>
      </c>
      <c r="H115" s="276">
        <f t="shared" si="40"/>
        <v>117.02982180777406</v>
      </c>
    </row>
    <row r="116" spans="1:8" ht="30.75" customHeight="1">
      <c r="A116" s="282" t="s">
        <v>706</v>
      </c>
      <c r="B116" s="206">
        <v>3405</v>
      </c>
      <c r="C116" s="288">
        <v>120.1</v>
      </c>
      <c r="D116" s="288">
        <v>2535.1</v>
      </c>
      <c r="E116" s="288">
        <v>2535.1</v>
      </c>
      <c r="F116" s="288">
        <v>2535.1</v>
      </c>
      <c r="G116" s="290">
        <f t="shared" si="39"/>
        <v>0</v>
      </c>
      <c r="H116" s="299">
        <f t="shared" si="40"/>
        <v>100</v>
      </c>
    </row>
    <row r="117" spans="1:8" ht="30.75" customHeight="1" thickBot="1">
      <c r="A117" s="300" t="s">
        <v>707</v>
      </c>
      <c r="B117" s="301">
        <v>3415</v>
      </c>
      <c r="C117" s="302">
        <f>SUM(C116,C115)</f>
        <v>2535.1000000000163</v>
      </c>
      <c r="D117" s="209">
        <f>SUM(D116,D115)</f>
        <v>368.90000000000873</v>
      </c>
      <c r="E117" s="209">
        <f>SUM(E116,E115)</f>
        <v>8.6401996668428183E-12</v>
      </c>
      <c r="F117" s="302">
        <f>SUM(F115:F116)</f>
        <v>368.90000000000873</v>
      </c>
      <c r="G117" s="303">
        <f t="shared" si="39"/>
        <v>-368.90000000000009</v>
      </c>
      <c r="H117" s="304">
        <f t="shared" si="40"/>
        <v>2.3421522544978622E-12</v>
      </c>
    </row>
    <row r="118" spans="1:8" ht="33" customHeight="1">
      <c r="A118" s="389" t="s">
        <v>97</v>
      </c>
      <c r="B118" s="390"/>
      <c r="C118" s="390"/>
      <c r="D118" s="390"/>
      <c r="E118" s="390"/>
      <c r="F118" s="390"/>
      <c r="G118" s="390"/>
      <c r="H118" s="391"/>
    </row>
    <row r="119" spans="1:8" ht="27.75" customHeight="1">
      <c r="A119" s="7" t="s">
        <v>20</v>
      </c>
      <c r="B119" s="3">
        <v>4000</v>
      </c>
      <c r="C119" s="1">
        <f>SUM(C120:C126)</f>
        <v>-18145.099999999999</v>
      </c>
      <c r="D119" s="1">
        <f>SUM(D120:D126)</f>
        <v>-1777</v>
      </c>
      <c r="E119" s="207">
        <f>SUM(E120:E126)</f>
        <v>-136.1</v>
      </c>
      <c r="F119" s="1">
        <f>SUM(F120:F126)</f>
        <v>-1777</v>
      </c>
      <c r="G119" s="1">
        <f t="shared" ref="G119" si="42">E119-F119</f>
        <v>1640.9</v>
      </c>
      <c r="H119" s="28">
        <f t="shared" ref="H119" si="43">(E119/F119)*100</f>
        <v>7.6589758019133374</v>
      </c>
    </row>
    <row r="120" spans="1:8" ht="37.5" customHeight="1">
      <c r="A120" s="8" t="s">
        <v>61</v>
      </c>
      <c r="B120" s="4">
        <v>4010</v>
      </c>
      <c r="C120" s="5" t="s">
        <v>27</v>
      </c>
      <c r="D120" s="5" t="s">
        <v>27</v>
      </c>
      <c r="E120" s="208" t="s">
        <v>27</v>
      </c>
      <c r="F120" s="5" t="s">
        <v>27</v>
      </c>
      <c r="G120" s="5"/>
      <c r="H120" s="29"/>
    </row>
    <row r="121" spans="1:8" ht="46.5" customHeight="1">
      <c r="A121" s="9" t="s">
        <v>127</v>
      </c>
      <c r="B121" s="4">
        <v>4020</v>
      </c>
      <c r="C121" s="5">
        <v>-6122.8</v>
      </c>
      <c r="D121" s="5">
        <v>-927</v>
      </c>
      <c r="E121" s="208">
        <v>-136.1</v>
      </c>
      <c r="F121" s="5">
        <f>D121</f>
        <v>-927</v>
      </c>
      <c r="G121" s="5">
        <f t="shared" ref="G121:G122" si="44">E121-F121</f>
        <v>790.9</v>
      </c>
      <c r="H121" s="29">
        <f t="shared" ref="H121:H122" si="45">(E121/F121)*100</f>
        <v>14.681769147788565</v>
      </c>
    </row>
    <row r="122" spans="1:8" ht="48.75" customHeight="1">
      <c r="A122" s="9" t="s">
        <v>70</v>
      </c>
      <c r="B122" s="4">
        <v>4030</v>
      </c>
      <c r="C122" s="5">
        <v>-988.7</v>
      </c>
      <c r="D122" s="5">
        <v>-297.7</v>
      </c>
      <c r="E122" s="208"/>
      <c r="F122" s="5">
        <f>D122</f>
        <v>-297.7</v>
      </c>
      <c r="G122" s="5">
        <f t="shared" si="44"/>
        <v>297.7</v>
      </c>
      <c r="H122" s="29">
        <f t="shared" si="45"/>
        <v>0</v>
      </c>
    </row>
    <row r="123" spans="1:8" ht="49.5" customHeight="1">
      <c r="A123" s="9" t="s">
        <v>128</v>
      </c>
      <c r="B123" s="4">
        <v>4040</v>
      </c>
      <c r="C123" s="5" t="s">
        <v>27</v>
      </c>
      <c r="D123" s="5" t="s">
        <v>27</v>
      </c>
      <c r="E123" s="208" t="s">
        <v>27</v>
      </c>
      <c r="F123" s="5" t="s">
        <v>27</v>
      </c>
      <c r="G123" s="5"/>
      <c r="H123" s="29"/>
    </row>
    <row r="124" spans="1:8" ht="63.75" customHeight="1">
      <c r="A124" s="9" t="s">
        <v>62</v>
      </c>
      <c r="B124" s="4">
        <v>4050</v>
      </c>
      <c r="C124" s="5">
        <v>-9920.1</v>
      </c>
      <c r="D124" s="5" t="s">
        <v>27</v>
      </c>
      <c r="E124" s="208" t="s">
        <v>27</v>
      </c>
      <c r="F124" s="5" t="s">
        <v>27</v>
      </c>
      <c r="G124" s="5"/>
      <c r="H124" s="29"/>
    </row>
    <row r="125" spans="1:8" ht="36.75" customHeight="1">
      <c r="A125" s="9" t="s">
        <v>63</v>
      </c>
      <c r="B125" s="4">
        <v>4060</v>
      </c>
      <c r="C125" s="5">
        <v>-1113.5</v>
      </c>
      <c r="D125" s="5">
        <v>-552.29999999999995</v>
      </c>
      <c r="E125" s="208" t="s">
        <v>27</v>
      </c>
      <c r="F125" s="5">
        <f>D125</f>
        <v>-552.29999999999995</v>
      </c>
      <c r="G125" s="5"/>
      <c r="H125" s="29"/>
    </row>
    <row r="126" spans="1:8" ht="39.75" customHeight="1" thickBot="1">
      <c r="A126" s="10" t="s">
        <v>49</v>
      </c>
      <c r="B126" s="11">
        <v>4070</v>
      </c>
      <c r="C126" s="22" t="s">
        <v>27</v>
      </c>
      <c r="D126" s="22" t="s">
        <v>27</v>
      </c>
      <c r="E126" s="210" t="s">
        <v>27</v>
      </c>
      <c r="F126" s="22" t="s">
        <v>27</v>
      </c>
      <c r="G126" s="22"/>
      <c r="H126" s="30"/>
    </row>
    <row r="127" spans="1:8" ht="36.75" customHeight="1" thickBot="1">
      <c r="A127" s="372" t="s">
        <v>98</v>
      </c>
      <c r="B127" s="373"/>
      <c r="C127" s="373"/>
      <c r="D127" s="373"/>
      <c r="E127" s="373"/>
      <c r="F127" s="373"/>
      <c r="G127" s="373"/>
      <c r="H127" s="374"/>
    </row>
    <row r="128" spans="1:8" ht="46.5" customHeight="1">
      <c r="A128" s="309"/>
      <c r="B128" s="310"/>
      <c r="C128" s="380" t="s">
        <v>121</v>
      </c>
      <c r="D128" s="380"/>
      <c r="E128" s="381" t="str">
        <f>E4</f>
        <v>Звітний за 2021 рік</v>
      </c>
      <c r="F128" s="382"/>
      <c r="G128" s="382"/>
      <c r="H128" s="383"/>
    </row>
    <row r="129" spans="1:10" ht="43.5" customHeight="1">
      <c r="A129" s="23"/>
      <c r="B129" s="21"/>
      <c r="C129" s="264" t="s">
        <v>533</v>
      </c>
      <c r="D129" s="264" t="s">
        <v>534</v>
      </c>
      <c r="E129" s="205" t="s">
        <v>106</v>
      </c>
      <c r="F129" s="2" t="s">
        <v>107</v>
      </c>
      <c r="G129" s="2" t="s">
        <v>108</v>
      </c>
      <c r="H129" s="305" t="s">
        <v>109</v>
      </c>
    </row>
    <row r="130" spans="1:10" s="220" customFormat="1" ht="86.25" customHeight="1">
      <c r="A130" s="24" t="s">
        <v>129</v>
      </c>
      <c r="B130" s="12" t="s">
        <v>31</v>
      </c>
      <c r="C130" s="13">
        <f>SUM(C131:C133)</f>
        <v>566</v>
      </c>
      <c r="D130" s="13">
        <f>SUM(D131:D133)</f>
        <v>523</v>
      </c>
      <c r="E130" s="211">
        <v>566</v>
      </c>
      <c r="F130" s="13">
        <f>SUM(F131:F133)</f>
        <v>523</v>
      </c>
      <c r="G130" s="13">
        <f>F130-E130</f>
        <v>-43</v>
      </c>
      <c r="H130" s="306">
        <f>G130-F130</f>
        <v>-566</v>
      </c>
      <c r="I130" s="202"/>
      <c r="J130" s="194"/>
    </row>
    <row r="131" spans="1:10" ht="27.75" customHeight="1">
      <c r="A131" s="25" t="s">
        <v>22</v>
      </c>
      <c r="B131" s="4" t="s">
        <v>32</v>
      </c>
      <c r="C131" s="14">
        <v>1</v>
      </c>
      <c r="D131" s="14">
        <v>1</v>
      </c>
      <c r="E131" s="212">
        <v>1</v>
      </c>
      <c r="F131" s="14">
        <f>D131</f>
        <v>1</v>
      </c>
      <c r="G131" s="14">
        <f t="shared" ref="G131:G145" si="46">F131-E131</f>
        <v>0</v>
      </c>
      <c r="H131" s="307">
        <f t="shared" ref="H131:H144" si="47">G131-F131</f>
        <v>-1</v>
      </c>
      <c r="J131" s="200"/>
    </row>
    <row r="132" spans="1:10" ht="27.75" customHeight="1">
      <c r="A132" s="25" t="s">
        <v>25</v>
      </c>
      <c r="B132" s="4" t="s">
        <v>33</v>
      </c>
      <c r="C132" s="14">
        <v>60</v>
      </c>
      <c r="D132" s="14">
        <v>58</v>
      </c>
      <c r="E132" s="212">
        <v>59</v>
      </c>
      <c r="F132" s="14">
        <f t="shared" ref="F132" si="48">D132</f>
        <v>58</v>
      </c>
      <c r="G132" s="14">
        <f t="shared" si="46"/>
        <v>-1</v>
      </c>
      <c r="H132" s="307">
        <f t="shared" si="47"/>
        <v>-59</v>
      </c>
      <c r="J132" s="200"/>
    </row>
    <row r="133" spans="1:10" ht="27.75" customHeight="1">
      <c r="A133" s="25" t="s">
        <v>23</v>
      </c>
      <c r="B133" s="4" t="s">
        <v>34</v>
      </c>
      <c r="C133" s="14">
        <v>505</v>
      </c>
      <c r="D133" s="14">
        <v>464</v>
      </c>
      <c r="E133" s="212">
        <v>501</v>
      </c>
      <c r="F133" s="14">
        <v>464</v>
      </c>
      <c r="G133" s="14">
        <f t="shared" si="46"/>
        <v>-37</v>
      </c>
      <c r="H133" s="307">
        <f t="shared" si="47"/>
        <v>-501</v>
      </c>
      <c r="J133" s="200"/>
    </row>
    <row r="134" spans="1:10" ht="27.75" customHeight="1">
      <c r="A134" s="7" t="s">
        <v>415</v>
      </c>
      <c r="B134" s="3" t="s">
        <v>35</v>
      </c>
      <c r="C134" s="1">
        <f>SUM(C135:C137)</f>
        <v>44270.8</v>
      </c>
      <c r="D134" s="1">
        <f>SUM(D135:D137)</f>
        <v>53283.100000000006</v>
      </c>
      <c r="E134" s="207">
        <f>SUM(E135:E137)</f>
        <v>49807.8</v>
      </c>
      <c r="F134" s="1">
        <f>SUM(F135:F137)</f>
        <v>53283.100000000006</v>
      </c>
      <c r="G134" s="13">
        <f t="shared" si="46"/>
        <v>3475.3000000000029</v>
      </c>
      <c r="H134" s="306">
        <f t="shared" si="47"/>
        <v>-49807.8</v>
      </c>
    </row>
    <row r="135" spans="1:10" ht="27.75" customHeight="1">
      <c r="A135" s="25" t="s">
        <v>22</v>
      </c>
      <c r="B135" s="4">
        <v>8011</v>
      </c>
      <c r="C135" s="5">
        <v>366.2</v>
      </c>
      <c r="D135" s="5">
        <v>443.1</v>
      </c>
      <c r="E135" s="213">
        <v>501</v>
      </c>
      <c r="F135" s="157">
        <v>443.1</v>
      </c>
      <c r="G135" s="14">
        <f t="shared" si="46"/>
        <v>-57.899999999999977</v>
      </c>
      <c r="H135" s="307">
        <f t="shared" si="47"/>
        <v>-501</v>
      </c>
    </row>
    <row r="136" spans="1:10" ht="27.75" customHeight="1">
      <c r="A136" s="25" t="s">
        <v>25</v>
      </c>
      <c r="B136" s="4">
        <v>8012</v>
      </c>
      <c r="C136" s="5">
        <v>2704.2</v>
      </c>
      <c r="D136" s="5">
        <v>5984.2</v>
      </c>
      <c r="E136" s="213">
        <v>4256.3</v>
      </c>
      <c r="F136" s="157">
        <f t="shared" ref="F136:F137" si="49">D136</f>
        <v>5984.2</v>
      </c>
      <c r="G136" s="14">
        <f t="shared" si="46"/>
        <v>1727.8999999999996</v>
      </c>
      <c r="H136" s="307">
        <f t="shared" si="47"/>
        <v>-4256.3</v>
      </c>
    </row>
    <row r="137" spans="1:10" ht="27.75" customHeight="1">
      <c r="A137" s="25" t="s">
        <v>23</v>
      </c>
      <c r="B137" s="4">
        <v>8013</v>
      </c>
      <c r="C137" s="5">
        <v>41200.400000000001</v>
      </c>
      <c r="D137" s="5">
        <v>46855.8</v>
      </c>
      <c r="E137" s="213">
        <v>45050.5</v>
      </c>
      <c r="F137" s="157">
        <f t="shared" si="49"/>
        <v>46855.8</v>
      </c>
      <c r="G137" s="14">
        <f t="shared" si="46"/>
        <v>1805.3000000000029</v>
      </c>
      <c r="H137" s="307">
        <f t="shared" si="47"/>
        <v>-45050.5</v>
      </c>
    </row>
    <row r="138" spans="1:10" ht="27.75" customHeight="1">
      <c r="A138" s="7" t="s">
        <v>2</v>
      </c>
      <c r="B138" s="3">
        <v>8020</v>
      </c>
      <c r="C138" s="1">
        <f>C46</f>
        <v>44748.6</v>
      </c>
      <c r="D138" s="1">
        <f>D46</f>
        <v>53283.1</v>
      </c>
      <c r="E138" s="207">
        <f>SUM(E139:E141)</f>
        <v>49807.5</v>
      </c>
      <c r="F138" s="203">
        <f>F46</f>
        <v>53283.1</v>
      </c>
      <c r="G138" s="13">
        <f t="shared" si="46"/>
        <v>3475.5999999999985</v>
      </c>
      <c r="H138" s="306">
        <f t="shared" si="47"/>
        <v>-49807.5</v>
      </c>
    </row>
    <row r="139" spans="1:10" ht="27.75" customHeight="1">
      <c r="A139" s="25" t="s">
        <v>22</v>
      </c>
      <c r="B139" s="4">
        <v>8021</v>
      </c>
      <c r="C139" s="5">
        <v>366.2</v>
      </c>
      <c r="D139" s="5">
        <f>D135</f>
        <v>443.1</v>
      </c>
      <c r="E139" s="213">
        <v>501</v>
      </c>
      <c r="F139" s="157">
        <f>F135</f>
        <v>443.1</v>
      </c>
      <c r="G139" s="14">
        <f t="shared" si="46"/>
        <v>-57.899999999999977</v>
      </c>
      <c r="H139" s="307">
        <f t="shared" si="47"/>
        <v>-501</v>
      </c>
    </row>
    <row r="140" spans="1:10" ht="27.75" customHeight="1">
      <c r="A140" s="25" t="s">
        <v>25</v>
      </c>
      <c r="B140" s="4">
        <v>8022</v>
      </c>
      <c r="C140" s="5">
        <v>3109.6</v>
      </c>
      <c r="D140" s="5">
        <f t="shared" ref="D140:F141" si="50">D136</f>
        <v>5984.2</v>
      </c>
      <c r="E140" s="213">
        <v>4256</v>
      </c>
      <c r="F140" s="157">
        <f t="shared" si="50"/>
        <v>5984.2</v>
      </c>
      <c r="G140" s="14">
        <f t="shared" si="46"/>
        <v>1728.1999999999998</v>
      </c>
      <c r="H140" s="307">
        <f t="shared" si="47"/>
        <v>-4256</v>
      </c>
    </row>
    <row r="141" spans="1:10" ht="27.75" customHeight="1">
      <c r="A141" s="25" t="s">
        <v>23</v>
      </c>
      <c r="B141" s="4">
        <v>8023</v>
      </c>
      <c r="C141" s="5">
        <v>41272.800000000003</v>
      </c>
      <c r="D141" s="5">
        <f t="shared" si="50"/>
        <v>46855.8</v>
      </c>
      <c r="E141" s="213">
        <v>45050.5</v>
      </c>
      <c r="F141" s="157">
        <f t="shared" si="50"/>
        <v>46855.8</v>
      </c>
      <c r="G141" s="14">
        <f t="shared" si="46"/>
        <v>1805.3000000000029</v>
      </c>
      <c r="H141" s="307">
        <f t="shared" si="47"/>
        <v>-45050.5</v>
      </c>
    </row>
    <row r="142" spans="1:10" s="220" customFormat="1" ht="66" customHeight="1">
      <c r="A142" s="24" t="s">
        <v>48</v>
      </c>
      <c r="B142" s="12" t="s">
        <v>71</v>
      </c>
      <c r="C142" s="13">
        <v>6588</v>
      </c>
      <c r="D142" s="13">
        <f>(D138/D130)/12*1000</f>
        <v>8489.9776927979583</v>
      </c>
      <c r="E142" s="211">
        <v>7333</v>
      </c>
      <c r="F142" s="13">
        <f>(F138/F130)/12*1000</f>
        <v>8489.9776927979583</v>
      </c>
      <c r="G142" s="13">
        <f t="shared" si="46"/>
        <v>1156.9776927979583</v>
      </c>
      <c r="H142" s="306">
        <f t="shared" si="47"/>
        <v>-7333</v>
      </c>
    </row>
    <row r="143" spans="1:10" ht="27.75" customHeight="1">
      <c r="A143" s="25" t="s">
        <v>22</v>
      </c>
      <c r="B143" s="4">
        <v>8031</v>
      </c>
      <c r="C143" s="14">
        <v>30517</v>
      </c>
      <c r="D143" s="14">
        <f>(D139/D131)/12*1000</f>
        <v>36925.000000000007</v>
      </c>
      <c r="E143" s="212">
        <v>41750</v>
      </c>
      <c r="F143" s="14">
        <f>D143</f>
        <v>36925.000000000007</v>
      </c>
      <c r="G143" s="14">
        <f t="shared" si="46"/>
        <v>-4824.9999999999927</v>
      </c>
      <c r="H143" s="307">
        <f t="shared" si="47"/>
        <v>-41750</v>
      </c>
    </row>
    <row r="144" spans="1:10" ht="27.75" customHeight="1">
      <c r="A144" s="25" t="s">
        <v>25</v>
      </c>
      <c r="B144" s="4">
        <v>8032</v>
      </c>
      <c r="C144" s="14">
        <v>4319</v>
      </c>
      <c r="D144" s="14">
        <f>(D140/D132)/12*1000</f>
        <v>8597.9885057471274</v>
      </c>
      <c r="E144" s="212">
        <v>6012</v>
      </c>
      <c r="F144" s="14">
        <f t="shared" ref="F144:F145" si="51">D144</f>
        <v>8597.9885057471274</v>
      </c>
      <c r="G144" s="14">
        <f t="shared" si="46"/>
        <v>2585.9885057471274</v>
      </c>
      <c r="H144" s="307">
        <f t="shared" si="47"/>
        <v>-6012</v>
      </c>
    </row>
    <row r="145" spans="1:8" ht="27.75" customHeight="1" thickBot="1">
      <c r="A145" s="26" t="s">
        <v>23</v>
      </c>
      <c r="B145" s="11">
        <v>8033</v>
      </c>
      <c r="C145" s="27">
        <v>6811</v>
      </c>
      <c r="D145" s="27">
        <f>(D141/D133)/12*1000</f>
        <v>8415.1939655172409</v>
      </c>
      <c r="E145" s="214">
        <v>7493</v>
      </c>
      <c r="F145" s="27">
        <f t="shared" si="51"/>
        <v>8415.1939655172409</v>
      </c>
      <c r="G145" s="27">
        <f t="shared" si="46"/>
        <v>922.19396551724094</v>
      </c>
      <c r="H145" s="308">
        <f>G145-F145</f>
        <v>-7493</v>
      </c>
    </row>
    <row r="146" spans="1:8" s="220" customFormat="1">
      <c r="A146" s="195"/>
      <c r="C146" s="196"/>
      <c r="D146" s="183"/>
      <c r="E146" s="215"/>
      <c r="F146" s="197"/>
      <c r="G146" s="197"/>
      <c r="H146" s="197"/>
    </row>
    <row r="147" spans="1:8" s="220" customFormat="1">
      <c r="A147" s="195"/>
      <c r="C147" s="196"/>
      <c r="D147" s="183"/>
      <c r="E147" s="215"/>
      <c r="F147" s="197"/>
      <c r="G147" s="197"/>
      <c r="H147" s="197"/>
    </row>
    <row r="148" spans="1:8" s="220" customFormat="1" ht="28.5" customHeight="1">
      <c r="A148" s="223" t="s">
        <v>432</v>
      </c>
      <c r="B148" s="198"/>
      <c r="C148" s="370"/>
      <c r="D148" s="371"/>
      <c r="E148" s="216"/>
      <c r="F148" s="375" t="s">
        <v>520</v>
      </c>
      <c r="G148" s="375"/>
      <c r="H148" s="375"/>
    </row>
    <row r="149" spans="1:8" s="220" customFormat="1">
      <c r="A149" s="220" t="s">
        <v>11</v>
      </c>
      <c r="B149" s="173"/>
      <c r="C149" s="369" t="s">
        <v>12</v>
      </c>
      <c r="D149" s="369"/>
      <c r="E149" s="204"/>
      <c r="F149" s="376" t="s">
        <v>17</v>
      </c>
      <c r="G149" s="376"/>
      <c r="H149" s="376"/>
    </row>
    <row r="150" spans="1:8" s="220" customFormat="1">
      <c r="A150" s="199"/>
      <c r="E150" s="201"/>
      <c r="F150" s="173"/>
      <c r="G150" s="173"/>
      <c r="H150" s="173"/>
    </row>
    <row r="151" spans="1:8" s="220" customFormat="1">
      <c r="A151" s="199"/>
      <c r="E151" s="201"/>
      <c r="F151" s="173"/>
      <c r="G151" s="173"/>
      <c r="H151" s="173"/>
    </row>
    <row r="152" spans="1:8" s="220" customFormat="1">
      <c r="A152" s="199"/>
      <c r="E152" s="201"/>
      <c r="F152" s="173"/>
      <c r="G152" s="173"/>
      <c r="H152" s="173"/>
    </row>
    <row r="153" spans="1:8" s="220" customFormat="1">
      <c r="A153" s="199"/>
      <c r="E153" s="201"/>
      <c r="F153" s="173"/>
      <c r="G153" s="173"/>
      <c r="H153" s="173"/>
    </row>
    <row r="154" spans="1:8" s="220" customFormat="1">
      <c r="A154" s="199"/>
      <c r="E154" s="201"/>
      <c r="F154" s="173"/>
      <c r="G154" s="173"/>
      <c r="H154" s="173"/>
    </row>
    <row r="155" spans="1:8" s="220" customFormat="1">
      <c r="A155" s="199"/>
      <c r="E155" s="201"/>
      <c r="F155" s="173"/>
      <c r="G155" s="173"/>
      <c r="H155" s="173"/>
    </row>
    <row r="156" spans="1:8" s="220" customFormat="1">
      <c r="A156" s="199"/>
      <c r="E156" s="201"/>
      <c r="F156" s="173"/>
      <c r="G156" s="173"/>
      <c r="H156" s="173"/>
    </row>
    <row r="157" spans="1:8" s="220" customFormat="1">
      <c r="A157" s="199"/>
      <c r="E157" s="201"/>
      <c r="F157" s="173"/>
      <c r="G157" s="173"/>
      <c r="H157" s="173"/>
    </row>
    <row r="158" spans="1:8" s="220" customFormat="1">
      <c r="A158" s="199"/>
      <c r="E158" s="201"/>
      <c r="F158" s="173"/>
      <c r="G158" s="173"/>
      <c r="H158" s="173"/>
    </row>
    <row r="159" spans="1:8" s="220" customFormat="1">
      <c r="A159" s="199"/>
      <c r="E159" s="201"/>
      <c r="F159" s="173"/>
      <c r="G159" s="173"/>
      <c r="H159" s="173"/>
    </row>
    <row r="160" spans="1:8" s="220" customFormat="1">
      <c r="A160" s="199"/>
      <c r="E160" s="201"/>
      <c r="F160" s="173"/>
      <c r="G160" s="173"/>
      <c r="H160" s="173"/>
    </row>
    <row r="161" spans="1:8" s="220" customFormat="1">
      <c r="A161" s="199"/>
      <c r="E161" s="201"/>
      <c r="F161" s="173"/>
      <c r="G161" s="173"/>
      <c r="H161" s="173"/>
    </row>
    <row r="162" spans="1:8" s="220" customFormat="1">
      <c r="A162" s="199"/>
      <c r="E162" s="201"/>
      <c r="F162" s="173"/>
      <c r="G162" s="173"/>
      <c r="H162" s="173"/>
    </row>
    <row r="163" spans="1:8" s="220" customFormat="1">
      <c r="A163" s="199"/>
      <c r="E163" s="201"/>
      <c r="F163" s="173"/>
      <c r="G163" s="173"/>
      <c r="H163" s="173"/>
    </row>
    <row r="164" spans="1:8" s="220" customFormat="1">
      <c r="A164" s="199"/>
      <c r="E164" s="201"/>
      <c r="F164" s="173"/>
      <c r="G164" s="173"/>
      <c r="H164" s="173"/>
    </row>
    <row r="165" spans="1:8" s="220" customFormat="1">
      <c r="A165" s="199"/>
      <c r="E165" s="201"/>
      <c r="F165" s="173"/>
      <c r="G165" s="173"/>
      <c r="H165" s="173"/>
    </row>
    <row r="166" spans="1:8" s="220" customFormat="1">
      <c r="A166" s="199"/>
      <c r="E166" s="201"/>
      <c r="F166" s="173"/>
      <c r="G166" s="173"/>
      <c r="H166" s="173"/>
    </row>
    <row r="167" spans="1:8" s="220" customFormat="1">
      <c r="A167" s="199"/>
      <c r="E167" s="201"/>
      <c r="F167" s="173"/>
      <c r="G167" s="173"/>
      <c r="H167" s="173"/>
    </row>
    <row r="168" spans="1:8" s="220" customFormat="1">
      <c r="A168" s="199"/>
      <c r="E168" s="201"/>
      <c r="F168" s="173"/>
      <c r="G168" s="173"/>
      <c r="H168" s="173"/>
    </row>
    <row r="169" spans="1:8" s="220" customFormat="1">
      <c r="A169" s="199"/>
      <c r="E169" s="201"/>
      <c r="F169" s="173"/>
      <c r="G169" s="173"/>
      <c r="H169" s="173"/>
    </row>
    <row r="170" spans="1:8" s="220" customFormat="1">
      <c r="A170" s="199"/>
      <c r="E170" s="201"/>
      <c r="F170" s="173"/>
      <c r="G170" s="173"/>
      <c r="H170" s="173"/>
    </row>
    <row r="171" spans="1:8" s="220" customFormat="1">
      <c r="A171" s="199"/>
      <c r="E171" s="201"/>
      <c r="F171" s="173"/>
      <c r="G171" s="173"/>
      <c r="H171" s="173"/>
    </row>
    <row r="172" spans="1:8" s="220" customFormat="1">
      <c r="A172" s="199"/>
      <c r="E172" s="201"/>
      <c r="F172" s="173"/>
      <c r="G172" s="173"/>
      <c r="H172" s="173"/>
    </row>
    <row r="173" spans="1:8" s="220" customFormat="1">
      <c r="A173" s="199"/>
      <c r="E173" s="201"/>
      <c r="F173" s="173"/>
      <c r="G173" s="173"/>
      <c r="H173" s="173"/>
    </row>
    <row r="174" spans="1:8" s="220" customFormat="1">
      <c r="A174" s="199"/>
      <c r="E174" s="201"/>
      <c r="F174" s="173"/>
      <c r="G174" s="173"/>
      <c r="H174" s="173"/>
    </row>
    <row r="175" spans="1:8" s="220" customFormat="1">
      <c r="A175" s="199"/>
      <c r="E175" s="201"/>
      <c r="F175" s="173"/>
      <c r="G175" s="173"/>
      <c r="H175" s="173"/>
    </row>
    <row r="176" spans="1:8" s="220" customFormat="1">
      <c r="A176" s="199"/>
      <c r="E176" s="201"/>
      <c r="F176" s="173"/>
      <c r="G176" s="173"/>
      <c r="H176" s="173"/>
    </row>
    <row r="177" spans="1:8" s="220" customFormat="1">
      <c r="A177" s="199"/>
      <c r="E177" s="201"/>
      <c r="F177" s="173"/>
      <c r="G177" s="173"/>
      <c r="H177" s="173"/>
    </row>
    <row r="178" spans="1:8" s="220" customFormat="1">
      <c r="A178" s="199"/>
      <c r="E178" s="201"/>
      <c r="F178" s="173"/>
      <c r="G178" s="173"/>
      <c r="H178" s="173"/>
    </row>
    <row r="179" spans="1:8" s="220" customFormat="1">
      <c r="A179" s="199"/>
      <c r="E179" s="201"/>
      <c r="F179" s="173"/>
      <c r="G179" s="173"/>
      <c r="H179" s="173"/>
    </row>
    <row r="180" spans="1:8" s="220" customFormat="1">
      <c r="A180" s="199"/>
      <c r="E180" s="201"/>
      <c r="F180" s="173"/>
      <c r="G180" s="173"/>
      <c r="H180" s="173"/>
    </row>
    <row r="181" spans="1:8" s="220" customFormat="1">
      <c r="A181" s="199"/>
      <c r="E181" s="201"/>
      <c r="F181" s="173"/>
      <c r="G181" s="173"/>
      <c r="H181" s="173"/>
    </row>
    <row r="182" spans="1:8" s="220" customFormat="1">
      <c r="A182" s="199"/>
      <c r="E182" s="201"/>
      <c r="F182" s="173"/>
      <c r="G182" s="173"/>
      <c r="H182" s="173"/>
    </row>
    <row r="183" spans="1:8" s="220" customFormat="1">
      <c r="A183" s="199"/>
      <c r="E183" s="201"/>
      <c r="F183" s="173"/>
      <c r="G183" s="173"/>
      <c r="H183" s="173"/>
    </row>
    <row r="184" spans="1:8" s="220" customFormat="1">
      <c r="A184" s="199"/>
      <c r="E184" s="201"/>
      <c r="F184" s="173"/>
      <c r="G184" s="173"/>
      <c r="H184" s="173"/>
    </row>
    <row r="185" spans="1:8" s="220" customFormat="1">
      <c r="A185" s="199"/>
      <c r="E185" s="201"/>
      <c r="F185" s="173"/>
      <c r="G185" s="173"/>
      <c r="H185" s="173"/>
    </row>
    <row r="186" spans="1:8" s="220" customFormat="1">
      <c r="A186" s="199"/>
      <c r="E186" s="201"/>
      <c r="F186" s="173"/>
      <c r="G186" s="173"/>
      <c r="H186" s="173"/>
    </row>
    <row r="187" spans="1:8" s="220" customFormat="1">
      <c r="A187" s="199"/>
      <c r="E187" s="201"/>
      <c r="F187" s="173"/>
      <c r="G187" s="173"/>
      <c r="H187" s="173"/>
    </row>
    <row r="188" spans="1:8" s="220" customFormat="1">
      <c r="A188" s="199"/>
      <c r="E188" s="201"/>
      <c r="F188" s="173"/>
      <c r="G188" s="173"/>
      <c r="H188" s="173"/>
    </row>
    <row r="189" spans="1:8" s="220" customFormat="1">
      <c r="A189" s="199"/>
      <c r="E189" s="201"/>
      <c r="F189" s="173"/>
      <c r="G189" s="173"/>
      <c r="H189" s="173"/>
    </row>
    <row r="190" spans="1:8" s="220" customFormat="1">
      <c r="A190" s="199"/>
      <c r="E190" s="201"/>
      <c r="F190" s="173"/>
      <c r="G190" s="173"/>
      <c r="H190" s="173"/>
    </row>
    <row r="191" spans="1:8" s="220" customFormat="1">
      <c r="A191" s="199"/>
      <c r="E191" s="201"/>
      <c r="F191" s="173"/>
      <c r="G191" s="173"/>
      <c r="H191" s="173"/>
    </row>
    <row r="192" spans="1:8" s="220" customFormat="1">
      <c r="A192" s="199"/>
      <c r="E192" s="201"/>
      <c r="F192" s="173"/>
      <c r="G192" s="173"/>
      <c r="H192" s="173"/>
    </row>
    <row r="193" spans="1:8" s="220" customFormat="1">
      <c r="A193" s="199"/>
      <c r="E193" s="201"/>
      <c r="F193" s="173"/>
      <c r="G193" s="173"/>
      <c r="H193" s="173"/>
    </row>
    <row r="194" spans="1:8" s="220" customFormat="1">
      <c r="A194" s="199"/>
      <c r="E194" s="201"/>
      <c r="F194" s="173"/>
      <c r="G194" s="173"/>
      <c r="H194" s="173"/>
    </row>
    <row r="195" spans="1:8" s="220" customFormat="1">
      <c r="A195" s="199"/>
      <c r="E195" s="201"/>
      <c r="F195" s="173"/>
      <c r="G195" s="173"/>
      <c r="H195" s="173"/>
    </row>
    <row r="196" spans="1:8" s="220" customFormat="1">
      <c r="A196" s="199"/>
      <c r="E196" s="201"/>
      <c r="F196" s="173"/>
      <c r="G196" s="173"/>
      <c r="H196" s="173"/>
    </row>
    <row r="197" spans="1:8" s="220" customFormat="1">
      <c r="A197" s="199"/>
      <c r="E197" s="201"/>
      <c r="F197" s="173"/>
      <c r="G197" s="173"/>
      <c r="H197" s="173"/>
    </row>
    <row r="198" spans="1:8" s="220" customFormat="1">
      <c r="A198" s="199"/>
      <c r="E198" s="201"/>
      <c r="F198" s="173"/>
      <c r="G198" s="173"/>
      <c r="H198" s="173"/>
    </row>
    <row r="199" spans="1:8" s="220" customFormat="1">
      <c r="A199" s="199"/>
      <c r="E199" s="201"/>
      <c r="F199" s="173"/>
      <c r="G199" s="173"/>
      <c r="H199" s="173"/>
    </row>
    <row r="200" spans="1:8" s="220" customFormat="1">
      <c r="A200" s="199"/>
      <c r="E200" s="201"/>
      <c r="F200" s="173"/>
      <c r="G200" s="173"/>
      <c r="H200" s="173"/>
    </row>
    <row r="201" spans="1:8" s="220" customFormat="1">
      <c r="A201" s="199"/>
      <c r="E201" s="201"/>
      <c r="F201" s="173"/>
      <c r="G201" s="173"/>
      <c r="H201" s="173"/>
    </row>
    <row r="202" spans="1:8" s="220" customFormat="1">
      <c r="A202" s="199"/>
      <c r="E202" s="201"/>
      <c r="F202" s="173"/>
      <c r="G202" s="173"/>
      <c r="H202" s="173"/>
    </row>
    <row r="203" spans="1:8" s="220" customFormat="1">
      <c r="A203" s="199"/>
      <c r="E203" s="201"/>
      <c r="F203" s="173"/>
      <c r="G203" s="173"/>
      <c r="H203" s="173"/>
    </row>
    <row r="204" spans="1:8" s="220" customFormat="1">
      <c r="A204" s="199"/>
      <c r="E204" s="201"/>
      <c r="F204" s="173"/>
      <c r="G204" s="173"/>
      <c r="H204" s="173"/>
    </row>
    <row r="205" spans="1:8" s="220" customFormat="1">
      <c r="A205" s="199"/>
      <c r="E205" s="201"/>
      <c r="F205" s="173"/>
      <c r="G205" s="173"/>
      <c r="H205" s="173"/>
    </row>
    <row r="206" spans="1:8" s="220" customFormat="1">
      <c r="A206" s="199"/>
      <c r="E206" s="201"/>
      <c r="F206" s="173"/>
      <c r="G206" s="173"/>
      <c r="H206" s="173"/>
    </row>
    <row r="207" spans="1:8" s="220" customFormat="1">
      <c r="A207" s="199"/>
      <c r="E207" s="201"/>
      <c r="F207" s="173"/>
      <c r="G207" s="173"/>
      <c r="H207" s="173"/>
    </row>
    <row r="208" spans="1:8" s="220" customFormat="1">
      <c r="A208" s="199"/>
      <c r="E208" s="201"/>
      <c r="F208" s="173"/>
      <c r="G208" s="173"/>
      <c r="H208" s="173"/>
    </row>
    <row r="209" spans="1:8" s="220" customFormat="1">
      <c r="A209" s="199"/>
      <c r="E209" s="201"/>
      <c r="F209" s="173"/>
      <c r="G209" s="173"/>
      <c r="H209" s="173"/>
    </row>
    <row r="210" spans="1:8" s="220" customFormat="1">
      <c r="A210" s="199"/>
      <c r="E210" s="201"/>
      <c r="F210" s="173"/>
      <c r="G210" s="173"/>
      <c r="H210" s="173"/>
    </row>
    <row r="211" spans="1:8" s="220" customFormat="1">
      <c r="A211" s="199"/>
      <c r="E211" s="201"/>
      <c r="F211" s="173"/>
      <c r="G211" s="173"/>
      <c r="H211" s="173"/>
    </row>
    <row r="212" spans="1:8" s="220" customFormat="1">
      <c r="A212" s="199"/>
      <c r="E212" s="201"/>
      <c r="F212" s="173"/>
      <c r="G212" s="173"/>
      <c r="H212" s="173"/>
    </row>
    <row r="213" spans="1:8" s="220" customFormat="1">
      <c r="A213" s="199"/>
      <c r="E213" s="201"/>
      <c r="F213" s="173"/>
      <c r="G213" s="173"/>
      <c r="H213" s="173"/>
    </row>
    <row r="214" spans="1:8" s="220" customFormat="1">
      <c r="A214" s="199"/>
      <c r="E214" s="201"/>
      <c r="F214" s="173"/>
      <c r="G214" s="173"/>
      <c r="H214" s="173"/>
    </row>
    <row r="215" spans="1:8" s="220" customFormat="1">
      <c r="A215" s="199"/>
      <c r="E215" s="201"/>
      <c r="F215" s="173"/>
      <c r="G215" s="173"/>
      <c r="H215" s="173"/>
    </row>
    <row r="216" spans="1:8" s="220" customFormat="1">
      <c r="A216" s="199"/>
      <c r="E216" s="201"/>
      <c r="F216" s="173"/>
      <c r="G216" s="173"/>
      <c r="H216" s="173"/>
    </row>
    <row r="217" spans="1:8" s="220" customFormat="1">
      <c r="A217" s="199"/>
      <c r="E217" s="201"/>
      <c r="F217" s="173"/>
      <c r="G217" s="173"/>
      <c r="H217" s="173"/>
    </row>
    <row r="218" spans="1:8" s="220" customFormat="1">
      <c r="A218" s="199"/>
      <c r="E218" s="201"/>
      <c r="F218" s="173"/>
      <c r="G218" s="173"/>
      <c r="H218" s="173"/>
    </row>
    <row r="219" spans="1:8" s="220" customFormat="1">
      <c r="A219" s="199"/>
      <c r="E219" s="201"/>
      <c r="F219" s="173"/>
      <c r="G219" s="173"/>
      <c r="H219" s="173"/>
    </row>
    <row r="220" spans="1:8" s="220" customFormat="1">
      <c r="A220" s="199"/>
      <c r="E220" s="201"/>
      <c r="F220" s="173"/>
      <c r="G220" s="173"/>
      <c r="H220" s="173"/>
    </row>
    <row r="221" spans="1:8" s="220" customFormat="1">
      <c r="A221" s="199"/>
      <c r="E221" s="201"/>
      <c r="F221" s="173"/>
      <c r="G221" s="173"/>
      <c r="H221" s="173"/>
    </row>
    <row r="222" spans="1:8" s="220" customFormat="1">
      <c r="A222" s="199"/>
      <c r="E222" s="201"/>
      <c r="F222" s="173"/>
      <c r="G222" s="173"/>
      <c r="H222" s="173"/>
    </row>
    <row r="223" spans="1:8" s="220" customFormat="1">
      <c r="A223" s="199"/>
      <c r="E223" s="201"/>
      <c r="F223" s="173"/>
      <c r="G223" s="173"/>
      <c r="H223" s="173"/>
    </row>
    <row r="224" spans="1:8" s="220" customFormat="1">
      <c r="A224" s="199"/>
      <c r="E224" s="201"/>
      <c r="F224" s="173"/>
      <c r="G224" s="173"/>
      <c r="H224" s="173"/>
    </row>
    <row r="225" spans="1:8" s="220" customFormat="1">
      <c r="A225" s="199"/>
      <c r="E225" s="201"/>
      <c r="F225" s="173"/>
      <c r="G225" s="173"/>
      <c r="H225" s="173"/>
    </row>
    <row r="226" spans="1:8" s="220" customFormat="1">
      <c r="A226" s="199"/>
      <c r="E226" s="201"/>
      <c r="F226" s="173"/>
      <c r="G226" s="173"/>
      <c r="H226" s="173"/>
    </row>
    <row r="227" spans="1:8" s="220" customFormat="1">
      <c r="A227" s="199"/>
      <c r="E227" s="201"/>
      <c r="F227" s="173"/>
      <c r="G227" s="173"/>
      <c r="H227" s="173"/>
    </row>
    <row r="228" spans="1:8" s="220" customFormat="1">
      <c r="A228" s="199"/>
      <c r="E228" s="201"/>
      <c r="F228" s="173"/>
      <c r="G228" s="173"/>
      <c r="H228" s="173"/>
    </row>
    <row r="229" spans="1:8" s="220" customFormat="1">
      <c r="A229" s="199"/>
      <c r="E229" s="201"/>
      <c r="F229" s="173"/>
      <c r="G229" s="173"/>
      <c r="H229" s="173"/>
    </row>
    <row r="230" spans="1:8" s="220" customFormat="1">
      <c r="A230" s="199"/>
      <c r="E230" s="201"/>
      <c r="F230" s="173"/>
      <c r="G230" s="173"/>
      <c r="H230" s="173"/>
    </row>
    <row r="231" spans="1:8" s="220" customFormat="1">
      <c r="A231" s="199"/>
      <c r="E231" s="201"/>
      <c r="F231" s="173"/>
      <c r="G231" s="173"/>
      <c r="H231" s="173"/>
    </row>
    <row r="232" spans="1:8" s="220" customFormat="1">
      <c r="A232" s="199"/>
      <c r="E232" s="201"/>
      <c r="F232" s="173"/>
      <c r="G232" s="173"/>
      <c r="H232" s="173"/>
    </row>
    <row r="233" spans="1:8" s="220" customFormat="1">
      <c r="A233" s="199"/>
      <c r="E233" s="201"/>
      <c r="F233" s="173"/>
      <c r="G233" s="173"/>
      <c r="H233" s="173"/>
    </row>
    <row r="234" spans="1:8" s="220" customFormat="1">
      <c r="A234" s="199"/>
      <c r="E234" s="201"/>
      <c r="F234" s="173"/>
      <c r="G234" s="173"/>
      <c r="H234" s="173"/>
    </row>
    <row r="235" spans="1:8" s="220" customFormat="1">
      <c r="A235" s="199"/>
      <c r="E235" s="201"/>
      <c r="F235" s="173"/>
      <c r="G235" s="173"/>
      <c r="H235" s="173"/>
    </row>
    <row r="236" spans="1:8" s="220" customFormat="1">
      <c r="A236" s="199"/>
      <c r="E236" s="201"/>
      <c r="F236" s="173"/>
      <c r="G236" s="173"/>
      <c r="H236" s="173"/>
    </row>
    <row r="237" spans="1:8" s="220" customFormat="1">
      <c r="A237" s="199"/>
      <c r="E237" s="201"/>
      <c r="F237" s="173"/>
      <c r="G237" s="173"/>
      <c r="H237" s="173"/>
    </row>
    <row r="238" spans="1:8" s="220" customFormat="1">
      <c r="A238" s="199"/>
      <c r="E238" s="201"/>
      <c r="F238" s="173"/>
      <c r="G238" s="173"/>
      <c r="H238" s="173"/>
    </row>
    <row r="239" spans="1:8" s="220" customFormat="1">
      <c r="A239" s="199"/>
      <c r="E239" s="201"/>
      <c r="F239" s="173"/>
      <c r="G239" s="173"/>
      <c r="H239" s="173"/>
    </row>
    <row r="240" spans="1:8" s="220" customFormat="1">
      <c r="A240" s="199"/>
      <c r="E240" s="201"/>
      <c r="F240" s="173"/>
      <c r="G240" s="173"/>
      <c r="H240" s="173"/>
    </row>
    <row r="241" spans="1:8" s="220" customFormat="1">
      <c r="A241" s="199"/>
      <c r="E241" s="201"/>
      <c r="F241" s="173"/>
      <c r="G241" s="173"/>
      <c r="H241" s="173"/>
    </row>
    <row r="242" spans="1:8" s="220" customFormat="1">
      <c r="A242" s="199"/>
      <c r="E242" s="201"/>
      <c r="F242" s="173"/>
      <c r="G242" s="173"/>
      <c r="H242" s="173"/>
    </row>
    <row r="243" spans="1:8" s="220" customFormat="1">
      <c r="A243" s="199"/>
      <c r="E243" s="201"/>
      <c r="F243" s="173"/>
      <c r="G243" s="173"/>
      <c r="H243" s="173"/>
    </row>
    <row r="244" spans="1:8" s="220" customFormat="1">
      <c r="A244" s="199"/>
      <c r="E244" s="201"/>
      <c r="F244" s="173"/>
      <c r="G244" s="173"/>
      <c r="H244" s="173"/>
    </row>
    <row r="245" spans="1:8" s="220" customFormat="1">
      <c r="A245" s="199"/>
      <c r="E245" s="201"/>
      <c r="F245" s="173"/>
      <c r="G245" s="173"/>
      <c r="H245" s="173"/>
    </row>
    <row r="246" spans="1:8" s="220" customFormat="1">
      <c r="A246" s="199"/>
      <c r="E246" s="201"/>
      <c r="F246" s="173"/>
      <c r="G246" s="173"/>
      <c r="H246" s="173"/>
    </row>
    <row r="247" spans="1:8" s="220" customFormat="1">
      <c r="A247" s="199"/>
      <c r="E247" s="201"/>
      <c r="F247" s="173"/>
      <c r="G247" s="173"/>
      <c r="H247" s="173"/>
    </row>
    <row r="248" spans="1:8" s="220" customFormat="1">
      <c r="A248" s="199"/>
      <c r="E248" s="201"/>
      <c r="F248" s="173"/>
      <c r="G248" s="173"/>
      <c r="H248" s="173"/>
    </row>
    <row r="249" spans="1:8" s="220" customFormat="1">
      <c r="A249" s="199"/>
      <c r="E249" s="201"/>
      <c r="F249" s="173"/>
      <c r="G249" s="173"/>
      <c r="H249" s="173"/>
    </row>
    <row r="250" spans="1:8" s="220" customFormat="1">
      <c r="A250" s="199"/>
      <c r="E250" s="201"/>
      <c r="F250" s="173"/>
      <c r="G250" s="173"/>
      <c r="H250" s="173"/>
    </row>
    <row r="251" spans="1:8" s="220" customFormat="1">
      <c r="A251" s="199"/>
      <c r="E251" s="201"/>
      <c r="F251" s="173"/>
      <c r="G251" s="173"/>
      <c r="H251" s="173"/>
    </row>
    <row r="252" spans="1:8" s="220" customFormat="1">
      <c r="A252" s="199"/>
      <c r="E252" s="201"/>
      <c r="F252" s="173"/>
      <c r="G252" s="173"/>
      <c r="H252" s="173"/>
    </row>
    <row r="253" spans="1:8" s="220" customFormat="1">
      <c r="A253" s="199"/>
      <c r="E253" s="201"/>
      <c r="F253" s="173"/>
      <c r="G253" s="173"/>
      <c r="H253" s="173"/>
    </row>
    <row r="254" spans="1:8" s="220" customFormat="1">
      <c r="A254" s="199"/>
      <c r="E254" s="201"/>
      <c r="F254" s="173"/>
      <c r="G254" s="173"/>
      <c r="H254" s="173"/>
    </row>
    <row r="255" spans="1:8" s="220" customFormat="1">
      <c r="A255" s="199"/>
      <c r="E255" s="201"/>
      <c r="F255" s="173"/>
      <c r="G255" s="173"/>
      <c r="H255" s="173"/>
    </row>
    <row r="256" spans="1:8" s="220" customFormat="1">
      <c r="A256" s="199"/>
      <c r="E256" s="201"/>
      <c r="F256" s="173"/>
      <c r="G256" s="173"/>
      <c r="H256" s="173"/>
    </row>
    <row r="257" spans="1:8" s="220" customFormat="1">
      <c r="A257" s="199"/>
      <c r="E257" s="201"/>
      <c r="F257" s="173"/>
      <c r="G257" s="173"/>
      <c r="H257" s="173"/>
    </row>
    <row r="258" spans="1:8" s="220" customFormat="1">
      <c r="A258" s="199"/>
      <c r="E258" s="201"/>
      <c r="F258" s="173"/>
      <c r="G258" s="173"/>
      <c r="H258" s="173"/>
    </row>
    <row r="259" spans="1:8" s="220" customFormat="1">
      <c r="A259" s="199"/>
      <c r="E259" s="201"/>
      <c r="F259" s="173"/>
      <c r="G259" s="173"/>
      <c r="H259" s="173"/>
    </row>
    <row r="260" spans="1:8" s="220" customFormat="1">
      <c r="A260" s="199"/>
      <c r="E260" s="201"/>
      <c r="F260" s="173"/>
      <c r="G260" s="173"/>
      <c r="H260" s="173"/>
    </row>
    <row r="261" spans="1:8" s="220" customFormat="1">
      <c r="A261" s="199"/>
      <c r="E261" s="201"/>
      <c r="F261" s="173"/>
      <c r="G261" s="173"/>
      <c r="H261" s="173"/>
    </row>
    <row r="262" spans="1:8" s="220" customFormat="1">
      <c r="A262" s="199"/>
      <c r="E262" s="201"/>
      <c r="F262" s="173"/>
      <c r="G262" s="173"/>
      <c r="H262" s="173"/>
    </row>
    <row r="263" spans="1:8" s="220" customFormat="1">
      <c r="A263" s="199"/>
      <c r="E263" s="201"/>
      <c r="F263" s="173"/>
      <c r="G263" s="173"/>
      <c r="H263" s="173"/>
    </row>
    <row r="264" spans="1:8" s="220" customFormat="1">
      <c r="A264" s="199"/>
      <c r="E264" s="201"/>
      <c r="F264" s="173"/>
      <c r="G264" s="173"/>
      <c r="H264" s="173"/>
    </row>
    <row r="265" spans="1:8" s="220" customFormat="1">
      <c r="A265" s="199"/>
      <c r="E265" s="201"/>
      <c r="F265" s="173"/>
      <c r="G265" s="173"/>
      <c r="H265" s="173"/>
    </row>
    <row r="266" spans="1:8" s="220" customFormat="1">
      <c r="A266" s="199"/>
      <c r="E266" s="201"/>
      <c r="F266" s="173"/>
      <c r="G266" s="173"/>
      <c r="H266" s="173"/>
    </row>
    <row r="267" spans="1:8" s="220" customFormat="1">
      <c r="A267" s="199"/>
      <c r="E267" s="201"/>
      <c r="F267" s="173"/>
      <c r="G267" s="173"/>
      <c r="H267" s="173"/>
    </row>
    <row r="268" spans="1:8" s="220" customFormat="1">
      <c r="A268" s="199"/>
      <c r="E268" s="201"/>
      <c r="F268" s="173"/>
      <c r="G268" s="173"/>
      <c r="H268" s="173"/>
    </row>
    <row r="269" spans="1:8" s="220" customFormat="1">
      <c r="A269" s="199"/>
      <c r="E269" s="201"/>
      <c r="F269" s="173"/>
      <c r="G269" s="173"/>
      <c r="H269" s="173"/>
    </row>
    <row r="270" spans="1:8" s="220" customFormat="1">
      <c r="A270" s="199"/>
      <c r="E270" s="201"/>
      <c r="F270" s="173"/>
      <c r="G270" s="173"/>
      <c r="H270" s="173"/>
    </row>
    <row r="271" spans="1:8" s="220" customFormat="1">
      <c r="A271" s="199"/>
      <c r="E271" s="201"/>
      <c r="F271" s="173"/>
      <c r="G271" s="173"/>
      <c r="H271" s="173"/>
    </row>
    <row r="272" spans="1:8" s="220" customFormat="1">
      <c r="A272" s="199"/>
      <c r="E272" s="201"/>
      <c r="F272" s="173"/>
      <c r="G272" s="173"/>
      <c r="H272" s="173"/>
    </row>
    <row r="273" spans="1:8" s="220" customFormat="1">
      <c r="A273" s="199"/>
      <c r="E273" s="201"/>
      <c r="F273" s="173"/>
      <c r="G273" s="173"/>
      <c r="H273" s="173"/>
    </row>
    <row r="274" spans="1:8" s="220" customFormat="1">
      <c r="A274" s="199"/>
      <c r="E274" s="201"/>
      <c r="F274" s="173"/>
      <c r="G274" s="173"/>
      <c r="H274" s="173"/>
    </row>
    <row r="275" spans="1:8" s="220" customFormat="1">
      <c r="A275" s="199"/>
      <c r="E275" s="201"/>
      <c r="F275" s="173"/>
      <c r="G275" s="173"/>
      <c r="H275" s="173"/>
    </row>
    <row r="276" spans="1:8" s="220" customFormat="1">
      <c r="A276" s="199"/>
      <c r="E276" s="201"/>
      <c r="F276" s="173"/>
      <c r="G276" s="173"/>
      <c r="H276" s="173"/>
    </row>
    <row r="277" spans="1:8" s="220" customFormat="1">
      <c r="A277" s="199"/>
      <c r="E277" s="201"/>
      <c r="F277" s="173"/>
      <c r="G277" s="173"/>
      <c r="H277" s="173"/>
    </row>
    <row r="278" spans="1:8" s="220" customFormat="1">
      <c r="A278" s="199"/>
      <c r="E278" s="201"/>
      <c r="F278" s="173"/>
      <c r="G278" s="173"/>
      <c r="H278" s="173"/>
    </row>
    <row r="279" spans="1:8" s="220" customFormat="1">
      <c r="A279" s="199"/>
      <c r="E279" s="201"/>
      <c r="F279" s="173"/>
      <c r="G279" s="173"/>
      <c r="H279" s="173"/>
    </row>
    <row r="280" spans="1:8" s="220" customFormat="1">
      <c r="A280" s="199"/>
      <c r="E280" s="201"/>
      <c r="F280" s="173"/>
      <c r="G280" s="173"/>
      <c r="H280" s="173"/>
    </row>
    <row r="281" spans="1:8" s="220" customFormat="1">
      <c r="A281" s="199"/>
      <c r="E281" s="201"/>
      <c r="F281" s="173"/>
      <c r="G281" s="173"/>
      <c r="H281" s="173"/>
    </row>
    <row r="282" spans="1:8" s="220" customFormat="1">
      <c r="A282" s="199"/>
      <c r="E282" s="201"/>
      <c r="F282" s="173"/>
      <c r="G282" s="173"/>
      <c r="H282" s="173"/>
    </row>
    <row r="283" spans="1:8" s="220" customFormat="1">
      <c r="A283" s="199"/>
      <c r="E283" s="201"/>
      <c r="F283" s="173"/>
      <c r="G283" s="173"/>
      <c r="H283" s="173"/>
    </row>
    <row r="284" spans="1:8" s="220" customFormat="1">
      <c r="A284" s="199"/>
      <c r="E284" s="201"/>
      <c r="F284" s="173"/>
      <c r="G284" s="173"/>
      <c r="H284" s="173"/>
    </row>
    <row r="285" spans="1:8" s="220" customFormat="1">
      <c r="A285" s="199"/>
      <c r="E285" s="201"/>
      <c r="F285" s="173"/>
      <c r="G285" s="173"/>
      <c r="H285" s="173"/>
    </row>
    <row r="286" spans="1:8" s="220" customFormat="1">
      <c r="A286" s="199"/>
      <c r="E286" s="201"/>
      <c r="F286" s="173"/>
      <c r="G286" s="173"/>
      <c r="H286" s="173"/>
    </row>
    <row r="287" spans="1:8" s="220" customFormat="1">
      <c r="A287" s="199"/>
      <c r="E287" s="201"/>
      <c r="F287" s="173"/>
      <c r="G287" s="173"/>
      <c r="H287" s="173"/>
    </row>
    <row r="288" spans="1:8" s="220" customFormat="1">
      <c r="A288" s="199"/>
      <c r="E288" s="201"/>
      <c r="F288" s="173"/>
      <c r="G288" s="173"/>
      <c r="H288" s="173"/>
    </row>
    <row r="289" spans="1:8" s="220" customFormat="1">
      <c r="A289" s="199"/>
      <c r="E289" s="201"/>
      <c r="F289" s="173"/>
      <c r="G289" s="173"/>
      <c r="H289" s="173"/>
    </row>
    <row r="290" spans="1:8" s="220" customFormat="1">
      <c r="A290" s="199"/>
      <c r="E290" s="201"/>
      <c r="F290" s="173"/>
      <c r="G290" s="173"/>
      <c r="H290" s="173"/>
    </row>
    <row r="291" spans="1:8" s="220" customFormat="1">
      <c r="A291" s="199"/>
      <c r="E291" s="201"/>
      <c r="F291" s="173"/>
      <c r="G291" s="173"/>
      <c r="H291" s="173"/>
    </row>
    <row r="292" spans="1:8" s="220" customFormat="1">
      <c r="A292" s="199"/>
      <c r="E292" s="201"/>
      <c r="F292" s="173"/>
      <c r="G292" s="173"/>
      <c r="H292" s="173"/>
    </row>
    <row r="293" spans="1:8" s="220" customFormat="1">
      <c r="A293" s="199"/>
      <c r="E293" s="201"/>
      <c r="F293" s="173"/>
      <c r="G293" s="173"/>
      <c r="H293" s="173"/>
    </row>
    <row r="294" spans="1:8" s="220" customFormat="1">
      <c r="A294" s="199"/>
      <c r="E294" s="201"/>
      <c r="F294" s="173"/>
      <c r="G294" s="173"/>
      <c r="H294" s="173"/>
    </row>
    <row r="295" spans="1:8" s="220" customFormat="1">
      <c r="A295" s="199"/>
      <c r="E295" s="201"/>
      <c r="F295" s="173"/>
      <c r="G295" s="173"/>
      <c r="H295" s="173"/>
    </row>
    <row r="296" spans="1:8" s="220" customFormat="1">
      <c r="A296" s="199"/>
      <c r="E296" s="201"/>
      <c r="F296" s="173"/>
      <c r="G296" s="173"/>
      <c r="H296" s="173"/>
    </row>
    <row r="297" spans="1:8" s="220" customFormat="1">
      <c r="A297" s="199"/>
      <c r="E297" s="201"/>
      <c r="F297" s="173"/>
      <c r="G297" s="173"/>
      <c r="H297" s="173"/>
    </row>
    <row r="298" spans="1:8" s="220" customFormat="1">
      <c r="A298" s="199"/>
      <c r="E298" s="201"/>
      <c r="F298" s="173"/>
      <c r="G298" s="173"/>
      <c r="H298" s="173"/>
    </row>
    <row r="299" spans="1:8" s="220" customFormat="1">
      <c r="A299" s="199"/>
      <c r="E299" s="201"/>
      <c r="F299" s="173"/>
      <c r="G299" s="173"/>
      <c r="H299" s="173"/>
    </row>
    <row r="300" spans="1:8" s="220" customFormat="1">
      <c r="A300" s="199"/>
      <c r="E300" s="201"/>
      <c r="F300" s="173"/>
      <c r="G300" s="173"/>
      <c r="H300" s="173"/>
    </row>
  </sheetData>
  <mergeCells count="18">
    <mergeCell ref="A44:H44"/>
    <mergeCell ref="C128:D128"/>
    <mergeCell ref="E128:H128"/>
    <mergeCell ref="A2:H2"/>
    <mergeCell ref="A1:H1"/>
    <mergeCell ref="A51:H51"/>
    <mergeCell ref="A118:H118"/>
    <mergeCell ref="A4:A5"/>
    <mergeCell ref="B4:B5"/>
    <mergeCell ref="A7:H7"/>
    <mergeCell ref="E4:H4"/>
    <mergeCell ref="C4:D4"/>
    <mergeCell ref="A69:H69"/>
    <mergeCell ref="C149:D149"/>
    <mergeCell ref="C148:D148"/>
    <mergeCell ref="A127:H127"/>
    <mergeCell ref="F148:H148"/>
    <mergeCell ref="F149:H149"/>
  </mergeCells>
  <phoneticPr fontId="3" type="noConversion"/>
  <pageMargins left="0.59055118110236227" right="0.59055118110236227" top="0.39370078740157483" bottom="0.39370078740157483" header="0.39370078740157483" footer="0.19685039370078741"/>
  <pageSetup paperSize="9" scale="65" orientation="landscape" verticalDpi="300" r:id="rId1"/>
  <headerFooter alignWithMargins="0"/>
  <ignoredErrors>
    <ignoredError sqref="B130:B13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2:R373"/>
  <sheetViews>
    <sheetView view="pageBreakPreview" topLeftCell="A64" zoomScale="50" zoomScaleSheetLayoutView="50" workbookViewId="0">
      <selection activeCell="E101" sqref="E101"/>
    </sheetView>
  </sheetViews>
  <sheetFormatPr defaultColWidth="9.140625" defaultRowHeight="18.75"/>
  <cols>
    <col min="1" max="1" width="8.28515625" style="18" customWidth="1"/>
    <col min="2" max="2" width="89.5703125" style="18" customWidth="1"/>
    <col min="3" max="3" width="14.7109375" style="187" customWidth="1"/>
    <col min="4" max="4" width="22" style="187" customWidth="1"/>
    <col min="5" max="5" width="22.85546875" style="187" customWidth="1"/>
    <col min="6" max="6" width="20" style="190" customWidth="1"/>
    <col min="7" max="8" width="19.5703125" style="18" customWidth="1"/>
    <col min="9" max="9" width="9.140625" style="18"/>
    <col min="10" max="10" width="9.7109375" style="18" bestFit="1" customWidth="1"/>
    <col min="11" max="15" width="9.140625" style="18"/>
    <col min="16" max="16" width="11.140625" style="18" bestFit="1" customWidth="1"/>
    <col min="17" max="17" width="9.140625" style="18"/>
    <col min="18" max="18" width="10.28515625" style="18" bestFit="1" customWidth="1"/>
    <col min="19" max="16384" width="9.140625" style="18"/>
  </cols>
  <sheetData>
    <row r="2" spans="1:8" ht="20.25">
      <c r="B2" s="403" t="s">
        <v>99</v>
      </c>
      <c r="C2" s="403"/>
      <c r="D2" s="403"/>
      <c r="E2" s="403"/>
      <c r="F2" s="403"/>
    </row>
    <row r="3" spans="1:8">
      <c r="B3" s="61"/>
      <c r="C3" s="186"/>
      <c r="D3" s="61"/>
      <c r="E3" s="61"/>
      <c r="F3" s="61"/>
      <c r="H3" s="18" t="s">
        <v>64</v>
      </c>
    </row>
    <row r="4" spans="1:8" ht="65.25" customHeight="1">
      <c r="A4" s="62" t="s">
        <v>74</v>
      </c>
      <c r="B4" s="62" t="s">
        <v>24</v>
      </c>
      <c r="C4" s="63" t="s">
        <v>5</v>
      </c>
      <c r="D4" s="47" t="str">
        <f>'Розшифровка 2 до формування'!D4</f>
        <v>Факт                   минулого   2020 року</v>
      </c>
      <c r="E4" s="47" t="str">
        <f>'Розшифровка 2 до формування'!E4</f>
        <v>Фінансовий план 
за 2021 рік</v>
      </c>
      <c r="F4" s="47" t="str">
        <f>'Розшифровка 2 до формування'!F4</f>
        <v xml:space="preserve">Факт 2021 року </v>
      </c>
      <c r="G4" s="47" t="s">
        <v>110</v>
      </c>
      <c r="H4" s="47" t="s">
        <v>112</v>
      </c>
    </row>
    <row r="5" spans="1:8" ht="19.5" customHeight="1">
      <c r="A5" s="46">
        <v>1</v>
      </c>
      <c r="B5" s="46">
        <v>2</v>
      </c>
      <c r="C5" s="47">
        <v>3</v>
      </c>
      <c r="D5" s="47">
        <v>4</v>
      </c>
      <c r="E5" s="47">
        <v>5</v>
      </c>
      <c r="F5" s="47">
        <v>6</v>
      </c>
      <c r="G5" s="46">
        <v>7</v>
      </c>
      <c r="H5" s="46">
        <v>8</v>
      </c>
    </row>
    <row r="6" spans="1:8" ht="30.75" customHeight="1">
      <c r="A6" s="406" t="s">
        <v>73</v>
      </c>
      <c r="B6" s="407"/>
      <c r="C6" s="47"/>
      <c r="D6" s="153">
        <f>SUM(D7,D12,D23,D25)</f>
        <v>76000.999999999985</v>
      </c>
      <c r="E6" s="153">
        <f>SUM(E7,E12,E23,E25)</f>
        <v>77582.7</v>
      </c>
      <c r="F6" s="153">
        <f>SUM(F7,F12,F23,F25)</f>
        <v>95001.400000000009</v>
      </c>
      <c r="G6" s="66">
        <f>F6-E6</f>
        <v>17418.700000000012</v>
      </c>
      <c r="H6" s="154">
        <f>F6/E6*100</f>
        <v>122.45178370951257</v>
      </c>
    </row>
    <row r="7" spans="1:8" ht="48.75" customHeight="1">
      <c r="A7" s="401" t="s">
        <v>72</v>
      </c>
      <c r="B7" s="402"/>
      <c r="C7" s="64">
        <v>1000</v>
      </c>
      <c r="D7" s="15">
        <f>SUM(D8:D11)</f>
        <v>46843.7</v>
      </c>
      <c r="E7" s="15">
        <f t="shared" ref="E7:F7" si="0">SUM(E8:E11)</f>
        <v>64875.6</v>
      </c>
      <c r="F7" s="15">
        <f t="shared" si="0"/>
        <v>74178.7</v>
      </c>
      <c r="G7" s="66">
        <f>F7-E7</f>
        <v>9303.0999999999985</v>
      </c>
      <c r="H7" s="66">
        <f>(F7/E7)*100</f>
        <v>114.33990591223819</v>
      </c>
    </row>
    <row r="8" spans="1:8" ht="33.75" customHeight="1">
      <c r="A8" s="47">
        <v>1</v>
      </c>
      <c r="B8" s="41" t="s">
        <v>425</v>
      </c>
      <c r="C8" s="64"/>
      <c r="D8" s="16">
        <v>45079.4</v>
      </c>
      <c r="E8" s="16">
        <v>62735.7</v>
      </c>
      <c r="F8" s="16">
        <f>72252.5-57</f>
        <v>72195.5</v>
      </c>
      <c r="G8" s="68">
        <f>F8-E8</f>
        <v>9459.8000000000029</v>
      </c>
      <c r="H8" s="68">
        <f>(F8/E8)*100</f>
        <v>115.07881477372533</v>
      </c>
    </row>
    <row r="9" spans="1:8" ht="33.75" customHeight="1">
      <c r="A9" s="46">
        <v>2</v>
      </c>
      <c r="B9" s="41" t="s">
        <v>189</v>
      </c>
      <c r="C9" s="47"/>
      <c r="D9" s="16">
        <v>1138.4000000000001</v>
      </c>
      <c r="E9" s="16">
        <v>1125.5</v>
      </c>
      <c r="F9" s="16">
        <f>1102.2+57</f>
        <v>1159.2</v>
      </c>
      <c r="G9" s="68">
        <f>F9-E9</f>
        <v>33.700000000000045</v>
      </c>
      <c r="H9" s="68">
        <f>(F9/E9)*100</f>
        <v>102.99422478898268</v>
      </c>
    </row>
    <row r="10" spans="1:8" ht="33.75" customHeight="1">
      <c r="A10" s="46">
        <v>3</v>
      </c>
      <c r="B10" s="41" t="s">
        <v>192</v>
      </c>
      <c r="C10" s="47"/>
      <c r="D10" s="16">
        <v>467.7</v>
      </c>
      <c r="E10" s="16">
        <v>472</v>
      </c>
      <c r="F10" s="16">
        <v>398.1</v>
      </c>
      <c r="G10" s="68">
        <f t="shared" ref="G10:G11" si="1">F10-E10</f>
        <v>-73.899999999999977</v>
      </c>
      <c r="H10" s="68">
        <f t="shared" ref="H10:H11" si="2">(F10/E10)*100</f>
        <v>84.343220338983059</v>
      </c>
    </row>
    <row r="11" spans="1:8" ht="48" customHeight="1">
      <c r="A11" s="89">
        <v>4</v>
      </c>
      <c r="B11" s="41" t="s">
        <v>395</v>
      </c>
      <c r="C11" s="47"/>
      <c r="D11" s="16">
        <v>158.19999999999999</v>
      </c>
      <c r="E11" s="16">
        <v>542.4</v>
      </c>
      <c r="F11" s="16">
        <v>425.9</v>
      </c>
      <c r="G11" s="68">
        <f t="shared" si="1"/>
        <v>-116.5</v>
      </c>
      <c r="H11" s="68">
        <f t="shared" si="2"/>
        <v>78.521386430678461</v>
      </c>
    </row>
    <row r="12" spans="1:8" ht="30.75" customHeight="1">
      <c r="A12" s="410" t="s">
        <v>36</v>
      </c>
      <c r="B12" s="411"/>
      <c r="C12" s="64">
        <v>1040</v>
      </c>
      <c r="D12" s="15">
        <f>SUM(D13:D22)</f>
        <v>27552.899999999998</v>
      </c>
      <c r="E12" s="15">
        <f t="shared" ref="E12:F12" si="3">SUM(E13:E22)</f>
        <v>12673.499999999998</v>
      </c>
      <c r="F12" s="15">
        <f t="shared" si="3"/>
        <v>18811.100000000002</v>
      </c>
      <c r="G12" s="66">
        <f>F12-E12</f>
        <v>6137.600000000004</v>
      </c>
      <c r="H12" s="66">
        <f>(F12/E12)*100</f>
        <v>148.42861088097214</v>
      </c>
    </row>
    <row r="13" spans="1:8" ht="36.75" customHeight="1">
      <c r="A13" s="46">
        <v>1</v>
      </c>
      <c r="B13" s="59" t="s">
        <v>190</v>
      </c>
      <c r="C13" s="64"/>
      <c r="D13" s="16">
        <v>12532.5</v>
      </c>
      <c r="E13" s="16"/>
      <c r="F13" s="16"/>
      <c r="G13" s="66">
        <f t="shared" ref="G13:G19" si="4">F13-E13</f>
        <v>0</v>
      </c>
      <c r="H13" s="66"/>
    </row>
    <row r="14" spans="1:8" ht="36" customHeight="1">
      <c r="A14" s="46">
        <v>2</v>
      </c>
      <c r="B14" s="324" t="s">
        <v>708</v>
      </c>
      <c r="C14" s="64"/>
      <c r="D14" s="16"/>
      <c r="E14" s="16"/>
      <c r="F14" s="16">
        <v>199.2</v>
      </c>
      <c r="G14" s="66"/>
      <c r="H14" s="66"/>
    </row>
    <row r="15" spans="1:8" ht="53.25" customHeight="1">
      <c r="A15" s="46">
        <v>3</v>
      </c>
      <c r="B15" s="59" t="s">
        <v>396</v>
      </c>
      <c r="C15" s="64"/>
      <c r="D15" s="16">
        <v>27.3</v>
      </c>
      <c r="E15" s="16">
        <v>71.599999999999994</v>
      </c>
      <c r="F15" s="16">
        <v>334.7</v>
      </c>
      <c r="G15" s="68">
        <f t="shared" si="4"/>
        <v>263.10000000000002</v>
      </c>
      <c r="H15" s="68">
        <f t="shared" ref="H15:H19" si="5">(F15/E15)*100</f>
        <v>467.45810055865923</v>
      </c>
    </row>
    <row r="16" spans="1:8" ht="32.25" customHeight="1">
      <c r="A16" s="46">
        <v>4</v>
      </c>
      <c r="B16" s="41" t="s">
        <v>648</v>
      </c>
      <c r="C16" s="64"/>
      <c r="D16" s="16">
        <v>11755.9</v>
      </c>
      <c r="E16" s="16">
        <v>12568.3</v>
      </c>
      <c r="F16" s="16">
        <v>14915.9</v>
      </c>
      <c r="G16" s="68">
        <f t="shared" si="4"/>
        <v>2347.6000000000004</v>
      </c>
      <c r="H16" s="68">
        <f t="shared" si="5"/>
        <v>118.67873936809275</v>
      </c>
    </row>
    <row r="17" spans="1:10" ht="49.5" customHeight="1">
      <c r="A17" s="46">
        <v>5</v>
      </c>
      <c r="B17" s="41" t="s">
        <v>191</v>
      </c>
      <c r="C17" s="64"/>
      <c r="D17" s="16">
        <v>1.8</v>
      </c>
      <c r="E17" s="16">
        <v>1.8</v>
      </c>
      <c r="F17" s="16">
        <v>26.2</v>
      </c>
      <c r="G17" s="68">
        <f t="shared" si="4"/>
        <v>24.4</v>
      </c>
      <c r="H17" s="68">
        <f t="shared" si="5"/>
        <v>1455.5555555555554</v>
      </c>
    </row>
    <row r="18" spans="1:10" ht="30.75" customHeight="1">
      <c r="A18" s="46">
        <v>6</v>
      </c>
      <c r="B18" s="41" t="s">
        <v>193</v>
      </c>
      <c r="C18" s="64"/>
      <c r="D18" s="16">
        <v>41.2</v>
      </c>
      <c r="E18" s="16">
        <v>31.8</v>
      </c>
      <c r="F18" s="16">
        <v>38.200000000000003</v>
      </c>
      <c r="G18" s="68">
        <f t="shared" si="4"/>
        <v>6.4000000000000021</v>
      </c>
      <c r="H18" s="68">
        <f t="shared" si="5"/>
        <v>120.12578616352201</v>
      </c>
    </row>
    <row r="19" spans="1:10" ht="36.75" customHeight="1">
      <c r="A19" s="46">
        <v>7</v>
      </c>
      <c r="B19" s="41" t="s">
        <v>194</v>
      </c>
      <c r="C19" s="64"/>
      <c r="D19" s="16">
        <v>17</v>
      </c>
      <c r="E19" s="16"/>
      <c r="F19" s="16"/>
      <c r="G19" s="68">
        <f t="shared" si="4"/>
        <v>0</v>
      </c>
      <c r="H19" s="357" t="e">
        <f t="shared" si="5"/>
        <v>#DIV/0!</v>
      </c>
    </row>
    <row r="20" spans="1:10" ht="33.75" customHeight="1">
      <c r="A20" s="46">
        <v>8</v>
      </c>
      <c r="B20" s="49" t="s">
        <v>426</v>
      </c>
      <c r="C20" s="64"/>
      <c r="D20" s="16">
        <v>418.7</v>
      </c>
      <c r="E20" s="16"/>
      <c r="F20" s="16">
        <v>300.3</v>
      </c>
      <c r="G20" s="68">
        <f t="shared" ref="G20:G28" si="6">F20-E20</f>
        <v>300.3</v>
      </c>
      <c r="H20" s="357" t="e">
        <f t="shared" ref="H20:H28" si="7">(F20/E20)*100</f>
        <v>#DIV/0!</v>
      </c>
    </row>
    <row r="21" spans="1:10" ht="33.75" customHeight="1">
      <c r="A21" s="46">
        <v>9</v>
      </c>
      <c r="B21" s="178" t="s">
        <v>427</v>
      </c>
      <c r="C21" s="64"/>
      <c r="D21" s="16">
        <v>2729.8</v>
      </c>
      <c r="E21" s="16"/>
      <c r="F21" s="16">
        <f>2993.3-4.9</f>
        <v>2988.4</v>
      </c>
      <c r="G21" s="68">
        <f t="shared" si="6"/>
        <v>2988.4</v>
      </c>
      <c r="H21" s="357" t="e">
        <f t="shared" si="7"/>
        <v>#DIV/0!</v>
      </c>
    </row>
    <row r="22" spans="1:10" ht="27" customHeight="1">
      <c r="A22" s="46">
        <v>10</v>
      </c>
      <c r="B22" s="41" t="s">
        <v>195</v>
      </c>
      <c r="C22" s="47"/>
      <c r="D22" s="86">
        <v>28.7</v>
      </c>
      <c r="E22" s="16"/>
      <c r="F22" s="16">
        <f>3.3+4.9</f>
        <v>8.1999999999999993</v>
      </c>
      <c r="G22" s="68">
        <f t="shared" si="6"/>
        <v>8.1999999999999993</v>
      </c>
      <c r="H22" s="357" t="e">
        <f t="shared" si="7"/>
        <v>#DIV/0!</v>
      </c>
    </row>
    <row r="23" spans="1:10" ht="30.75" customHeight="1">
      <c r="A23" s="410" t="s">
        <v>75</v>
      </c>
      <c r="B23" s="411"/>
      <c r="C23" s="64">
        <v>1130</v>
      </c>
      <c r="D23" s="15">
        <f>SUM(D24)</f>
        <v>26.5</v>
      </c>
      <c r="E23" s="15">
        <f t="shared" ref="E23:F23" si="8">SUM(E24)</f>
        <v>33.6</v>
      </c>
      <c r="F23" s="15">
        <f t="shared" si="8"/>
        <v>30.1</v>
      </c>
      <c r="G23" s="66">
        <f t="shared" si="6"/>
        <v>-3.5</v>
      </c>
      <c r="H23" s="66">
        <f t="shared" si="7"/>
        <v>89.583333333333343</v>
      </c>
    </row>
    <row r="24" spans="1:10" ht="38.25" customHeight="1">
      <c r="A24" s="46">
        <v>1</v>
      </c>
      <c r="B24" s="41" t="s">
        <v>429</v>
      </c>
      <c r="C24" s="64"/>
      <c r="D24" s="16">
        <v>26.5</v>
      </c>
      <c r="E24" s="16">
        <v>33.6</v>
      </c>
      <c r="F24" s="16">
        <v>30.1</v>
      </c>
      <c r="G24" s="68">
        <f t="shared" si="6"/>
        <v>-3.5</v>
      </c>
      <c r="H24" s="68">
        <f t="shared" si="7"/>
        <v>89.583333333333343</v>
      </c>
    </row>
    <row r="25" spans="1:10" ht="30.75" customHeight="1">
      <c r="A25" s="410" t="s">
        <v>28</v>
      </c>
      <c r="B25" s="411"/>
      <c r="C25" s="64">
        <v>1150</v>
      </c>
      <c r="D25" s="15">
        <f t="shared" ref="D25:E25" si="9">SUM(D26:D27)</f>
        <v>1577.9</v>
      </c>
      <c r="E25" s="15">
        <f t="shared" si="9"/>
        <v>0</v>
      </c>
      <c r="F25" s="15">
        <f>SUM(F26:F28)</f>
        <v>1981.5000000000002</v>
      </c>
      <c r="G25" s="66">
        <f t="shared" si="6"/>
        <v>1981.5000000000002</v>
      </c>
      <c r="H25" s="358" t="e">
        <f t="shared" si="7"/>
        <v>#DIV/0!</v>
      </c>
    </row>
    <row r="26" spans="1:10" ht="31.5" customHeight="1">
      <c r="A26" s="89">
        <v>1</v>
      </c>
      <c r="B26" s="60" t="s">
        <v>196</v>
      </c>
      <c r="C26" s="64"/>
      <c r="D26" s="16">
        <v>1572.9</v>
      </c>
      <c r="E26" s="16"/>
      <c r="F26" s="16">
        <v>1875.9</v>
      </c>
      <c r="G26" s="68">
        <f t="shared" si="6"/>
        <v>1875.9</v>
      </c>
      <c r="H26" s="357" t="e">
        <f t="shared" si="7"/>
        <v>#DIV/0!</v>
      </c>
    </row>
    <row r="27" spans="1:10" ht="33.75" customHeight="1">
      <c r="A27" s="89">
        <v>2</v>
      </c>
      <c r="B27" s="60" t="s">
        <v>400</v>
      </c>
      <c r="C27" s="64"/>
      <c r="D27" s="16">
        <v>5</v>
      </c>
      <c r="E27" s="16"/>
      <c r="F27" s="86">
        <v>26.4</v>
      </c>
      <c r="G27" s="68">
        <f t="shared" si="6"/>
        <v>26.4</v>
      </c>
      <c r="H27" s="357" t="e">
        <f t="shared" si="7"/>
        <v>#DIV/0!</v>
      </c>
    </row>
    <row r="28" spans="1:10" ht="34.5" customHeight="1">
      <c r="A28" s="89">
        <v>3</v>
      </c>
      <c r="B28" s="41" t="s">
        <v>653</v>
      </c>
      <c r="C28" s="64"/>
      <c r="D28" s="16"/>
      <c r="E28" s="16"/>
      <c r="F28" s="16">
        <f>2.7+76.5</f>
        <v>79.2</v>
      </c>
      <c r="G28" s="68">
        <f t="shared" si="6"/>
        <v>79.2</v>
      </c>
      <c r="H28" s="357" t="e">
        <f t="shared" si="7"/>
        <v>#DIV/0!</v>
      </c>
    </row>
    <row r="29" spans="1:10" ht="40.5" customHeight="1">
      <c r="A29" s="406" t="s">
        <v>76</v>
      </c>
      <c r="B29" s="407"/>
      <c r="C29" s="64"/>
      <c r="D29" s="15"/>
      <c r="E29" s="15"/>
      <c r="F29" s="15"/>
      <c r="G29" s="66"/>
      <c r="H29" s="66"/>
    </row>
    <row r="30" spans="1:10" ht="36" customHeight="1">
      <c r="A30" s="401" t="s">
        <v>77</v>
      </c>
      <c r="B30" s="402"/>
      <c r="C30" s="47"/>
      <c r="D30" s="15"/>
      <c r="E30" s="15"/>
      <c r="F30" s="15"/>
      <c r="G30" s="66"/>
      <c r="H30" s="66"/>
    </row>
    <row r="31" spans="1:10" ht="34.5" customHeight="1">
      <c r="A31" s="408" t="s">
        <v>78</v>
      </c>
      <c r="B31" s="409"/>
      <c r="C31" s="64">
        <v>1011</v>
      </c>
      <c r="D31" s="15">
        <f>SUM(D32:D52)</f>
        <v>11277.210000000003</v>
      </c>
      <c r="E31" s="15">
        <f t="shared" ref="E31" si="10">SUM(E32:E52)</f>
        <v>11337.200000000003</v>
      </c>
      <c r="F31" s="15">
        <f>SUM(F32:F52)</f>
        <v>16330.200000000003</v>
      </c>
      <c r="G31" s="66">
        <f>F31-E31</f>
        <v>4993</v>
      </c>
      <c r="H31" s="66">
        <f>(F31/E31)*100</f>
        <v>144.040856648908</v>
      </c>
      <c r="I31" s="156"/>
      <c r="J31" s="218"/>
    </row>
    <row r="32" spans="1:10" ht="45.75" customHeight="1">
      <c r="A32" s="185"/>
      <c r="B32" s="41" t="s">
        <v>373</v>
      </c>
      <c r="C32" s="64"/>
      <c r="D32" s="16">
        <v>225</v>
      </c>
      <c r="E32" s="16">
        <v>449.2</v>
      </c>
      <c r="F32" s="16">
        <v>171.9</v>
      </c>
      <c r="G32" s="68">
        <f t="shared" ref="G32:G51" si="11">F32-E32</f>
        <v>-277.29999999999995</v>
      </c>
      <c r="H32" s="68">
        <f t="shared" ref="H32:H50" si="12">(F32/E32)*100</f>
        <v>38.268032056990208</v>
      </c>
    </row>
    <row r="33" spans="1:8" ht="26.25" customHeight="1">
      <c r="A33" s="185"/>
      <c r="B33" s="41" t="s">
        <v>155</v>
      </c>
      <c r="C33" s="64"/>
      <c r="D33" s="16">
        <v>2660</v>
      </c>
      <c r="E33" s="16">
        <v>4000</v>
      </c>
      <c r="F33" s="16">
        <v>4635</v>
      </c>
      <c r="G33" s="68">
        <f t="shared" si="11"/>
        <v>635</v>
      </c>
      <c r="H33" s="68">
        <f t="shared" si="12"/>
        <v>115.875</v>
      </c>
    </row>
    <row r="34" spans="1:8" ht="24.75" customHeight="1">
      <c r="A34" s="185"/>
      <c r="B34" s="39" t="s">
        <v>157</v>
      </c>
      <c r="C34" s="64"/>
      <c r="D34" s="16">
        <v>1412</v>
      </c>
      <c r="E34" s="16">
        <v>1405.8</v>
      </c>
      <c r="F34" s="16">
        <v>2594.6</v>
      </c>
      <c r="G34" s="68">
        <f t="shared" si="11"/>
        <v>1188.8</v>
      </c>
      <c r="H34" s="68">
        <f t="shared" si="12"/>
        <v>184.56394935268173</v>
      </c>
    </row>
    <row r="35" spans="1:8" ht="23.25" customHeight="1">
      <c r="A35" s="185"/>
      <c r="B35" s="39" t="s">
        <v>134</v>
      </c>
      <c r="C35" s="64"/>
      <c r="D35" s="16">
        <v>5022.5</v>
      </c>
      <c r="E35" s="16">
        <v>3778.2</v>
      </c>
      <c r="F35" s="16">
        <f>7500.8+66.8</f>
        <v>7567.6</v>
      </c>
      <c r="G35" s="68">
        <f t="shared" si="11"/>
        <v>3789.4000000000005</v>
      </c>
      <c r="H35" s="68">
        <f t="shared" si="12"/>
        <v>200.29643745699013</v>
      </c>
    </row>
    <row r="36" spans="1:8" ht="25.5" customHeight="1">
      <c r="A36" s="185"/>
      <c r="B36" s="39" t="s">
        <v>185</v>
      </c>
      <c r="C36" s="64"/>
      <c r="D36" s="16">
        <v>637.79999999999995</v>
      </c>
      <c r="E36" s="16"/>
      <c r="F36" s="15"/>
      <c r="G36" s="68">
        <f t="shared" si="11"/>
        <v>0</v>
      </c>
      <c r="H36" s="68"/>
    </row>
    <row r="37" spans="1:8" ht="24" customHeight="1">
      <c r="A37" s="185"/>
      <c r="B37" s="42" t="s">
        <v>374</v>
      </c>
      <c r="C37" s="64"/>
      <c r="D37" s="16">
        <v>115.6</v>
      </c>
      <c r="E37" s="16">
        <v>334</v>
      </c>
      <c r="F37" s="16">
        <v>111.7</v>
      </c>
      <c r="G37" s="68">
        <f t="shared" si="11"/>
        <v>-222.3</v>
      </c>
      <c r="H37" s="68">
        <f t="shared" si="12"/>
        <v>33.443113772455092</v>
      </c>
    </row>
    <row r="38" spans="1:8" ht="24" customHeight="1">
      <c r="A38" s="185"/>
      <c r="B38" s="39" t="s">
        <v>159</v>
      </c>
      <c r="C38" s="64"/>
      <c r="D38" s="16">
        <v>151.11000000000001</v>
      </c>
      <c r="E38" s="16"/>
      <c r="F38" s="16">
        <v>86.9</v>
      </c>
      <c r="G38" s="68">
        <f t="shared" si="11"/>
        <v>86.9</v>
      </c>
      <c r="H38" s="357" t="e">
        <f t="shared" si="12"/>
        <v>#DIV/0!</v>
      </c>
    </row>
    <row r="39" spans="1:8" ht="24.75" customHeight="1">
      <c r="A39" s="185"/>
      <c r="B39" s="41" t="s">
        <v>135</v>
      </c>
      <c r="C39" s="64"/>
      <c r="D39" s="16">
        <v>310.2</v>
      </c>
      <c r="E39" s="16">
        <v>432.9</v>
      </c>
      <c r="F39" s="16">
        <f>534.6-23.4</f>
        <v>511.20000000000005</v>
      </c>
      <c r="G39" s="68">
        <f t="shared" si="11"/>
        <v>78.300000000000068</v>
      </c>
      <c r="H39" s="68">
        <f t="shared" si="12"/>
        <v>118.0873180873181</v>
      </c>
    </row>
    <row r="40" spans="1:8">
      <c r="A40" s="185"/>
      <c r="B40" s="41" t="s">
        <v>375</v>
      </c>
      <c r="C40" s="64"/>
      <c r="D40" s="16">
        <v>230.1</v>
      </c>
      <c r="E40" s="16">
        <v>218.6</v>
      </c>
      <c r="F40" s="16">
        <v>133.80000000000001</v>
      </c>
      <c r="G40" s="68">
        <f t="shared" si="11"/>
        <v>-84.799999999999983</v>
      </c>
      <c r="H40" s="68">
        <f t="shared" si="12"/>
        <v>61.207685269899372</v>
      </c>
    </row>
    <row r="41" spans="1:8" ht="24.75" customHeight="1">
      <c r="A41" s="185"/>
      <c r="B41" s="41" t="s">
        <v>140</v>
      </c>
      <c r="C41" s="64"/>
      <c r="D41" s="16">
        <v>102.1</v>
      </c>
      <c r="E41" s="16">
        <v>91.2</v>
      </c>
      <c r="F41" s="16">
        <f>116.7-31.2</f>
        <v>85.5</v>
      </c>
      <c r="G41" s="68">
        <f t="shared" si="11"/>
        <v>-5.7000000000000028</v>
      </c>
      <c r="H41" s="68">
        <f t="shared" si="12"/>
        <v>93.75</v>
      </c>
    </row>
    <row r="42" spans="1:8" ht="42.75" customHeight="1">
      <c r="A42" s="185"/>
      <c r="B42" s="41" t="s">
        <v>186</v>
      </c>
      <c r="C42" s="64"/>
      <c r="D42" s="16">
        <v>318.2</v>
      </c>
      <c r="E42" s="16">
        <v>212.2</v>
      </c>
      <c r="F42" s="16">
        <f>268.4-12.2</f>
        <v>256.2</v>
      </c>
      <c r="G42" s="68">
        <f t="shared" si="11"/>
        <v>44</v>
      </c>
      <c r="H42" s="68">
        <f t="shared" si="12"/>
        <v>120.73515551366636</v>
      </c>
    </row>
    <row r="43" spans="1:8" ht="27.75" customHeight="1">
      <c r="A43" s="217"/>
      <c r="B43" s="41" t="s">
        <v>407</v>
      </c>
      <c r="C43" s="64"/>
      <c r="D43" s="16"/>
      <c r="E43" s="16"/>
      <c r="F43" s="16">
        <v>127.6</v>
      </c>
      <c r="G43" s="68"/>
      <c r="H43" s="68"/>
    </row>
    <row r="44" spans="1:8" ht="48.75" customHeight="1">
      <c r="A44" s="185"/>
      <c r="B44" s="41" t="s">
        <v>366</v>
      </c>
      <c r="C44" s="64"/>
      <c r="D44" s="16">
        <v>26.7</v>
      </c>
      <c r="E44" s="16">
        <v>76.5</v>
      </c>
      <c r="F44" s="16"/>
      <c r="G44" s="68">
        <f t="shared" si="11"/>
        <v>-76.5</v>
      </c>
      <c r="H44" s="68">
        <f t="shared" si="12"/>
        <v>0</v>
      </c>
    </row>
    <row r="45" spans="1:8" ht="62.25" customHeight="1">
      <c r="A45" s="185"/>
      <c r="B45" s="41" t="s">
        <v>168</v>
      </c>
      <c r="C45" s="64"/>
      <c r="D45" s="16"/>
      <c r="E45" s="16">
        <v>16</v>
      </c>
      <c r="F45" s="16"/>
      <c r="G45" s="68">
        <f t="shared" si="11"/>
        <v>-16</v>
      </c>
      <c r="H45" s="68">
        <f t="shared" si="12"/>
        <v>0</v>
      </c>
    </row>
    <row r="46" spans="1:8" ht="45.75" customHeight="1">
      <c r="A46" s="185"/>
      <c r="B46" s="41" t="s">
        <v>184</v>
      </c>
      <c r="C46" s="64"/>
      <c r="D46" s="16">
        <v>7.8</v>
      </c>
      <c r="E46" s="16"/>
      <c r="F46" s="16"/>
      <c r="G46" s="68">
        <f t="shared" si="11"/>
        <v>0</v>
      </c>
      <c r="H46" s="68" t="e">
        <f t="shared" si="12"/>
        <v>#DIV/0!</v>
      </c>
    </row>
    <row r="47" spans="1:8" ht="21.75" customHeight="1">
      <c r="A47" s="185"/>
      <c r="B47" s="58" t="s">
        <v>336</v>
      </c>
      <c r="C47" s="64"/>
      <c r="D47" s="16"/>
      <c r="E47" s="16">
        <v>182.4</v>
      </c>
      <c r="F47" s="15"/>
      <c r="G47" s="68">
        <f t="shared" si="11"/>
        <v>-182.4</v>
      </c>
      <c r="H47" s="68">
        <f t="shared" si="12"/>
        <v>0</v>
      </c>
    </row>
    <row r="48" spans="1:8" ht="21.75" customHeight="1">
      <c r="A48" s="185"/>
      <c r="B48" s="41" t="s">
        <v>337</v>
      </c>
      <c r="C48" s="64"/>
      <c r="D48" s="16"/>
      <c r="E48" s="16">
        <v>81</v>
      </c>
      <c r="F48" s="15"/>
      <c r="G48" s="68">
        <f t="shared" si="11"/>
        <v>-81</v>
      </c>
      <c r="H48" s="68">
        <f t="shared" si="12"/>
        <v>0</v>
      </c>
    </row>
    <row r="49" spans="1:16" ht="19.5" customHeight="1">
      <c r="A49" s="185"/>
      <c r="B49" s="41" t="s">
        <v>338</v>
      </c>
      <c r="C49" s="64"/>
      <c r="D49" s="16"/>
      <c r="E49" s="16">
        <v>35.6</v>
      </c>
      <c r="F49" s="15"/>
      <c r="G49" s="68">
        <f t="shared" si="11"/>
        <v>-35.6</v>
      </c>
      <c r="H49" s="68">
        <f t="shared" si="12"/>
        <v>0</v>
      </c>
    </row>
    <row r="50" spans="1:16" ht="27.75" customHeight="1">
      <c r="A50" s="185"/>
      <c r="B50" s="49" t="s">
        <v>349</v>
      </c>
      <c r="C50" s="64"/>
      <c r="D50" s="16">
        <v>48.5</v>
      </c>
      <c r="E50" s="16">
        <v>23.6</v>
      </c>
      <c r="F50" s="16">
        <v>48.2</v>
      </c>
      <c r="G50" s="68">
        <f t="shared" si="11"/>
        <v>24.6</v>
      </c>
      <c r="H50" s="68">
        <f t="shared" si="12"/>
        <v>204.23728813559322</v>
      </c>
    </row>
    <row r="51" spans="1:16" ht="24.75" customHeight="1">
      <c r="A51" s="185"/>
      <c r="B51" s="42" t="s">
        <v>408</v>
      </c>
      <c r="C51" s="64"/>
      <c r="D51" s="16">
        <v>4.5999999999999996</v>
      </c>
      <c r="E51" s="16"/>
      <c r="F51" s="15"/>
      <c r="G51" s="68">
        <f t="shared" si="11"/>
        <v>0</v>
      </c>
      <c r="H51" s="68"/>
    </row>
    <row r="52" spans="1:16" ht="24" customHeight="1">
      <c r="A52" s="185"/>
      <c r="B52" s="42" t="s">
        <v>393</v>
      </c>
      <c r="C52" s="64"/>
      <c r="D52" s="16">
        <v>5</v>
      </c>
      <c r="E52" s="16"/>
      <c r="F52" s="15"/>
      <c r="G52" s="68"/>
      <c r="H52" s="68"/>
    </row>
    <row r="53" spans="1:16" ht="35.25" customHeight="1">
      <c r="A53" s="401" t="s">
        <v>79</v>
      </c>
      <c r="B53" s="402"/>
      <c r="C53" s="64">
        <v>1015</v>
      </c>
      <c r="D53" s="15">
        <f>SUM(D54:D96)</f>
        <v>5188.7999999999993</v>
      </c>
      <c r="E53" s="15">
        <f t="shared" ref="E53" si="13">SUM(E54:E96)</f>
        <v>5122.1000000000004</v>
      </c>
      <c r="F53" s="15">
        <f>SUM(F54:F96)</f>
        <v>7496.5000000000009</v>
      </c>
      <c r="G53" s="66">
        <f>F53-E53</f>
        <v>2374.4000000000005</v>
      </c>
      <c r="H53" s="66">
        <f>(F53/E53)*100</f>
        <v>146.35598680228813</v>
      </c>
    </row>
    <row r="54" spans="1:16" ht="24" customHeight="1">
      <c r="A54" s="185"/>
      <c r="B54" s="49" t="s">
        <v>344</v>
      </c>
      <c r="C54" s="64"/>
      <c r="D54" s="16">
        <v>60.8</v>
      </c>
      <c r="E54" s="16">
        <v>78.599999999999994</v>
      </c>
      <c r="F54" s="16">
        <f>16.6+9.4</f>
        <v>26</v>
      </c>
      <c r="G54" s="68">
        <f t="shared" ref="G54:G75" si="14">F54-E54</f>
        <v>-52.599999999999994</v>
      </c>
      <c r="H54" s="68">
        <f t="shared" ref="H54:H75" si="15">(F54/E54)*100</f>
        <v>33.078880407124686</v>
      </c>
    </row>
    <row r="55" spans="1:16" ht="23.25" customHeight="1">
      <c r="A55" s="185"/>
      <c r="B55" s="49" t="s">
        <v>197</v>
      </c>
      <c r="C55" s="64"/>
      <c r="D55" s="16">
        <v>89</v>
      </c>
      <c r="E55" s="16">
        <v>127.4</v>
      </c>
      <c r="F55" s="16">
        <v>226.5</v>
      </c>
      <c r="G55" s="68">
        <f t="shared" si="14"/>
        <v>99.1</v>
      </c>
      <c r="H55" s="68">
        <f t="shared" si="15"/>
        <v>177.78649921507065</v>
      </c>
    </row>
    <row r="56" spans="1:16" ht="23.25" customHeight="1">
      <c r="A56" s="185"/>
      <c r="B56" s="49" t="s">
        <v>376</v>
      </c>
      <c r="C56" s="64"/>
      <c r="D56" s="16"/>
      <c r="E56" s="16">
        <v>55.7</v>
      </c>
      <c r="F56" s="16">
        <v>47.4</v>
      </c>
      <c r="G56" s="68">
        <f t="shared" si="14"/>
        <v>-8.3000000000000043</v>
      </c>
      <c r="H56" s="68">
        <f t="shared" si="15"/>
        <v>85.098743267504489</v>
      </c>
      <c r="P56" s="82"/>
    </row>
    <row r="57" spans="1:16" ht="24" customHeight="1">
      <c r="A57" s="185"/>
      <c r="B57" s="49" t="s">
        <v>377</v>
      </c>
      <c r="C57" s="64"/>
      <c r="D57" s="16"/>
      <c r="E57" s="16">
        <v>55.1</v>
      </c>
      <c r="F57" s="16">
        <v>32.799999999999997</v>
      </c>
      <c r="G57" s="68">
        <f t="shared" si="14"/>
        <v>-22.300000000000004</v>
      </c>
      <c r="H57" s="68">
        <f t="shared" si="15"/>
        <v>59.528130671506339</v>
      </c>
      <c r="I57" s="82"/>
    </row>
    <row r="58" spans="1:16" ht="25.5" customHeight="1">
      <c r="A58" s="185"/>
      <c r="B58" s="49" t="s">
        <v>200</v>
      </c>
      <c r="C58" s="64"/>
      <c r="D58" s="16">
        <v>80.599999999999994</v>
      </c>
      <c r="E58" s="16">
        <v>249.9</v>
      </c>
      <c r="F58" s="16">
        <f>273.6+11.7+19.4</f>
        <v>304.7</v>
      </c>
      <c r="G58" s="68">
        <f t="shared" si="14"/>
        <v>54.799999999999983</v>
      </c>
      <c r="H58" s="68">
        <f t="shared" si="15"/>
        <v>121.92877150860343</v>
      </c>
    </row>
    <row r="59" spans="1:16" ht="25.5" customHeight="1">
      <c r="A59" s="185"/>
      <c r="B59" s="49" t="s">
        <v>378</v>
      </c>
      <c r="C59" s="64"/>
      <c r="D59" s="16">
        <v>336.7</v>
      </c>
      <c r="E59" s="16">
        <v>229.8</v>
      </c>
      <c r="F59" s="16">
        <f>547.4+63.9+21.8+11.1+26.6</f>
        <v>670.8</v>
      </c>
      <c r="G59" s="68">
        <f t="shared" si="14"/>
        <v>440.99999999999994</v>
      </c>
      <c r="H59" s="68">
        <f t="shared" si="15"/>
        <v>291.90600522193211</v>
      </c>
    </row>
    <row r="60" spans="1:16" ht="53.25" customHeight="1">
      <c r="A60" s="185"/>
      <c r="B60" s="49" t="s">
        <v>138</v>
      </c>
      <c r="C60" s="64"/>
      <c r="D60" s="16">
        <v>181.6</v>
      </c>
      <c r="E60" s="16"/>
      <c r="F60" s="16"/>
      <c r="G60" s="68"/>
      <c r="H60" s="68"/>
    </row>
    <row r="61" spans="1:16" ht="23.25" customHeight="1">
      <c r="A61" s="185"/>
      <c r="B61" s="49" t="s">
        <v>202</v>
      </c>
      <c r="C61" s="64"/>
      <c r="D61" s="16">
        <v>37.799999999999997</v>
      </c>
      <c r="E61" s="16">
        <v>68.900000000000006</v>
      </c>
      <c r="F61" s="16">
        <f>22.5+25.5+2.2+8.1</f>
        <v>58.300000000000004</v>
      </c>
      <c r="G61" s="68">
        <f t="shared" si="14"/>
        <v>-10.600000000000001</v>
      </c>
      <c r="H61" s="68">
        <f t="shared" si="15"/>
        <v>84.615384615384613</v>
      </c>
    </row>
    <row r="62" spans="1:16" ht="25.5" customHeight="1">
      <c r="A62" s="185"/>
      <c r="B62" s="49" t="s">
        <v>527</v>
      </c>
      <c r="C62" s="64"/>
      <c r="D62" s="16"/>
      <c r="E62" s="16">
        <v>340</v>
      </c>
      <c r="F62" s="16"/>
      <c r="G62" s="68"/>
      <c r="H62" s="68"/>
    </row>
    <row r="63" spans="1:16" ht="23.25" customHeight="1">
      <c r="A63" s="185"/>
      <c r="B63" s="49" t="s">
        <v>386</v>
      </c>
      <c r="C63" s="64"/>
      <c r="D63" s="16">
        <v>46</v>
      </c>
      <c r="E63" s="16">
        <v>1.5</v>
      </c>
      <c r="F63" s="16">
        <f>1.5+1.3</f>
        <v>2.8</v>
      </c>
      <c r="G63" s="68">
        <f t="shared" si="14"/>
        <v>1.2999999999999998</v>
      </c>
      <c r="H63" s="68">
        <f t="shared" si="15"/>
        <v>186.66666666666666</v>
      </c>
    </row>
    <row r="64" spans="1:16" ht="23.25" customHeight="1">
      <c r="A64" s="185"/>
      <c r="B64" s="49" t="s">
        <v>339</v>
      </c>
      <c r="C64" s="64"/>
      <c r="D64" s="16">
        <v>13.1</v>
      </c>
      <c r="E64" s="16">
        <v>3.3</v>
      </c>
      <c r="F64" s="16">
        <v>3.3</v>
      </c>
      <c r="G64" s="68">
        <f t="shared" si="14"/>
        <v>0</v>
      </c>
      <c r="H64" s="68">
        <f t="shared" si="15"/>
        <v>100</v>
      </c>
    </row>
    <row r="65" spans="1:8" ht="24" customHeight="1">
      <c r="A65" s="185"/>
      <c r="B65" s="49" t="s">
        <v>379</v>
      </c>
      <c r="C65" s="64"/>
      <c r="D65" s="16">
        <v>12.4</v>
      </c>
      <c r="E65" s="16">
        <v>8.4</v>
      </c>
      <c r="F65" s="16">
        <f>17+2.5+8.3</f>
        <v>27.8</v>
      </c>
      <c r="G65" s="68">
        <f t="shared" si="14"/>
        <v>19.399999999999999</v>
      </c>
      <c r="H65" s="68">
        <f t="shared" si="15"/>
        <v>330.95238095238091</v>
      </c>
    </row>
    <row r="66" spans="1:8" ht="21.75" customHeight="1">
      <c r="A66" s="185"/>
      <c r="B66" s="49" t="s">
        <v>380</v>
      </c>
      <c r="C66" s="64"/>
      <c r="D66" s="16"/>
      <c r="E66" s="16">
        <v>1.7</v>
      </c>
      <c r="F66" s="16"/>
      <c r="G66" s="68">
        <f t="shared" si="14"/>
        <v>-1.7</v>
      </c>
      <c r="H66" s="68">
        <f t="shared" si="15"/>
        <v>0</v>
      </c>
    </row>
    <row r="67" spans="1:8" ht="25.5" customHeight="1">
      <c r="A67" s="185"/>
      <c r="B67" s="49" t="s">
        <v>401</v>
      </c>
      <c r="C67" s="64"/>
      <c r="D67" s="16">
        <v>54.6</v>
      </c>
      <c r="E67" s="16">
        <v>93.4</v>
      </c>
      <c r="F67" s="16">
        <f>48.9+24.5</f>
        <v>73.400000000000006</v>
      </c>
      <c r="G67" s="68">
        <f t="shared" si="14"/>
        <v>-20</v>
      </c>
      <c r="H67" s="68">
        <f t="shared" si="15"/>
        <v>78.586723768736618</v>
      </c>
    </row>
    <row r="68" spans="1:8" ht="24" customHeight="1">
      <c r="A68" s="185"/>
      <c r="B68" s="49" t="s">
        <v>139</v>
      </c>
      <c r="C68" s="64"/>
      <c r="D68" s="16">
        <v>19</v>
      </c>
      <c r="E68" s="16">
        <v>18.600000000000001</v>
      </c>
      <c r="F68" s="16">
        <f>15.7+16.3+0.4</f>
        <v>32.4</v>
      </c>
      <c r="G68" s="68">
        <f t="shared" si="14"/>
        <v>13.799999999999997</v>
      </c>
      <c r="H68" s="68">
        <f t="shared" si="15"/>
        <v>174.19354838709674</v>
      </c>
    </row>
    <row r="69" spans="1:8" ht="27" customHeight="1">
      <c r="A69" s="185"/>
      <c r="B69" s="49" t="s">
        <v>324</v>
      </c>
      <c r="C69" s="64"/>
      <c r="D69" s="16">
        <v>20.7</v>
      </c>
      <c r="E69" s="16">
        <v>3.9</v>
      </c>
      <c r="F69" s="16">
        <f>10.9+4.8</f>
        <v>15.7</v>
      </c>
      <c r="G69" s="68">
        <f t="shared" si="14"/>
        <v>11.799999999999999</v>
      </c>
      <c r="H69" s="68">
        <f t="shared" si="15"/>
        <v>402.56410256410254</v>
      </c>
    </row>
    <row r="70" spans="1:8" ht="38.25" customHeight="1">
      <c r="A70" s="185"/>
      <c r="B70" s="49" t="s">
        <v>381</v>
      </c>
      <c r="C70" s="64"/>
      <c r="D70" s="16">
        <v>12.5</v>
      </c>
      <c r="E70" s="16"/>
      <c r="F70" s="16">
        <v>6.6</v>
      </c>
      <c r="G70" s="68">
        <f t="shared" si="14"/>
        <v>6.6</v>
      </c>
      <c r="H70" s="68"/>
    </row>
    <row r="71" spans="1:8" ht="21.75" customHeight="1">
      <c r="A71" s="185"/>
      <c r="B71" s="49" t="s">
        <v>387</v>
      </c>
      <c r="C71" s="64"/>
      <c r="D71" s="16">
        <v>568.1</v>
      </c>
      <c r="E71" s="16">
        <v>87.6</v>
      </c>
      <c r="F71" s="16"/>
      <c r="G71" s="68">
        <f t="shared" si="14"/>
        <v>-87.6</v>
      </c>
      <c r="H71" s="68">
        <f t="shared" si="15"/>
        <v>0</v>
      </c>
    </row>
    <row r="72" spans="1:8" ht="24" customHeight="1">
      <c r="A72" s="185"/>
      <c r="B72" s="49" t="s">
        <v>397</v>
      </c>
      <c r="C72" s="64"/>
      <c r="D72" s="16"/>
      <c r="E72" s="16"/>
      <c r="F72" s="16">
        <f>18+26.2+0.7+169.3</f>
        <v>214.20000000000002</v>
      </c>
      <c r="G72" s="68"/>
      <c r="H72" s="68"/>
    </row>
    <row r="73" spans="1:8" ht="23.25" customHeight="1">
      <c r="A73" s="185"/>
      <c r="B73" s="49" t="s">
        <v>532</v>
      </c>
      <c r="C73" s="64"/>
      <c r="D73" s="16">
        <v>119.3</v>
      </c>
      <c r="E73" s="16"/>
      <c r="F73" s="16"/>
      <c r="G73" s="68"/>
      <c r="H73" s="68"/>
    </row>
    <row r="74" spans="1:8" ht="24" customHeight="1">
      <c r="A74" s="185"/>
      <c r="B74" s="49" t="s">
        <v>165</v>
      </c>
      <c r="C74" s="64"/>
      <c r="D74" s="16">
        <v>190</v>
      </c>
      <c r="E74" s="16"/>
      <c r="F74" s="16"/>
      <c r="G74" s="68">
        <f t="shared" si="14"/>
        <v>0</v>
      </c>
      <c r="H74" s="68"/>
    </row>
    <row r="75" spans="1:8" ht="42" customHeight="1">
      <c r="A75" s="185"/>
      <c r="B75" s="49" t="s">
        <v>382</v>
      </c>
      <c r="C75" s="64"/>
      <c r="D75" s="16">
        <v>5.8</v>
      </c>
      <c r="E75" s="16">
        <v>11.5</v>
      </c>
      <c r="F75" s="16">
        <f>6.6+0.4</f>
        <v>7</v>
      </c>
      <c r="G75" s="68">
        <f t="shared" si="14"/>
        <v>-4.5</v>
      </c>
      <c r="H75" s="68">
        <f t="shared" si="15"/>
        <v>60.869565217391312</v>
      </c>
    </row>
    <row r="76" spans="1:8" ht="24.75" customHeight="1">
      <c r="A76" s="185"/>
      <c r="B76" s="49" t="s">
        <v>147</v>
      </c>
      <c r="C76" s="64"/>
      <c r="D76" s="16">
        <v>2.4</v>
      </c>
      <c r="E76" s="16"/>
      <c r="F76" s="16"/>
      <c r="G76" s="68"/>
      <c r="H76" s="68"/>
    </row>
    <row r="77" spans="1:8" ht="23.25" customHeight="1">
      <c r="A77" s="87"/>
      <c r="B77" s="43" t="s">
        <v>372</v>
      </c>
      <c r="C77" s="47"/>
      <c r="D77" s="16"/>
      <c r="E77" s="16">
        <v>4.0999999999999996</v>
      </c>
      <c r="F77" s="16">
        <f>5.6</f>
        <v>5.6</v>
      </c>
      <c r="G77" s="68">
        <f>F77-E77</f>
        <v>1.5</v>
      </c>
      <c r="H77" s="68">
        <f>(F77/E77)*100</f>
        <v>136.58536585365854</v>
      </c>
    </row>
    <row r="78" spans="1:8" ht="24" customHeight="1">
      <c r="A78" s="87"/>
      <c r="B78" s="43" t="s">
        <v>383</v>
      </c>
      <c r="C78" s="47"/>
      <c r="D78" s="16">
        <v>7.2</v>
      </c>
      <c r="E78" s="16"/>
      <c r="F78" s="16">
        <v>2.6</v>
      </c>
      <c r="G78" s="68">
        <f t="shared" ref="G78:G95" si="16">F78-E78</f>
        <v>2.6</v>
      </c>
      <c r="H78" s="357" t="e">
        <f>(F78/E78)*100</f>
        <v>#DIV/0!</v>
      </c>
    </row>
    <row r="79" spans="1:8" ht="23.25" customHeight="1">
      <c r="A79" s="87"/>
      <c r="B79" s="43" t="s">
        <v>384</v>
      </c>
      <c r="C79" s="47"/>
      <c r="D79" s="16">
        <v>8.6</v>
      </c>
      <c r="E79" s="16">
        <v>13.6</v>
      </c>
      <c r="F79" s="16">
        <v>13.9</v>
      </c>
      <c r="G79" s="68">
        <f t="shared" si="16"/>
        <v>0.30000000000000071</v>
      </c>
      <c r="H79" s="68">
        <f t="shared" ref="H79:H95" si="17">(F79/E79)*100</f>
        <v>102.20588235294119</v>
      </c>
    </row>
    <row r="80" spans="1:8" ht="22.5" customHeight="1">
      <c r="A80" s="87"/>
      <c r="B80" s="43" t="s">
        <v>175</v>
      </c>
      <c r="C80" s="47"/>
      <c r="D80" s="16">
        <v>1.6</v>
      </c>
      <c r="E80" s="16">
        <v>2.6</v>
      </c>
      <c r="F80" s="16">
        <v>0.7</v>
      </c>
      <c r="G80" s="68">
        <f t="shared" si="16"/>
        <v>-1.9000000000000001</v>
      </c>
      <c r="H80" s="68">
        <f t="shared" si="17"/>
        <v>26.923076923076923</v>
      </c>
    </row>
    <row r="81" spans="1:8" ht="21.75" customHeight="1">
      <c r="A81" s="87"/>
      <c r="B81" s="43" t="s">
        <v>385</v>
      </c>
      <c r="C81" s="47"/>
      <c r="D81" s="16">
        <v>2.7</v>
      </c>
      <c r="E81" s="16">
        <v>0.3</v>
      </c>
      <c r="F81" s="16"/>
      <c r="G81" s="68">
        <f t="shared" si="16"/>
        <v>-0.3</v>
      </c>
      <c r="H81" s="68">
        <f t="shared" si="17"/>
        <v>0</v>
      </c>
    </row>
    <row r="82" spans="1:8" ht="23.25" customHeight="1">
      <c r="A82" s="87"/>
      <c r="B82" s="49" t="s">
        <v>164</v>
      </c>
      <c r="C82" s="47"/>
      <c r="D82" s="16">
        <v>1598.3</v>
      </c>
      <c r="E82" s="16">
        <v>1960.6</v>
      </c>
      <c r="F82" s="16">
        <f>13.1+20.8+3423.1</f>
        <v>3457</v>
      </c>
      <c r="G82" s="68">
        <f t="shared" si="16"/>
        <v>1496.4</v>
      </c>
      <c r="H82" s="68">
        <f t="shared" si="17"/>
        <v>176.3235744159951</v>
      </c>
    </row>
    <row r="83" spans="1:8" ht="24.75" customHeight="1">
      <c r="A83" s="87"/>
      <c r="B83" s="49" t="s">
        <v>342</v>
      </c>
      <c r="C83" s="47"/>
      <c r="D83" s="16">
        <v>317.60000000000002</v>
      </c>
      <c r="E83" s="16">
        <v>490.2</v>
      </c>
      <c r="F83" s="16">
        <f>1.3+3.4+440.7+0.2</f>
        <v>445.59999999999997</v>
      </c>
      <c r="G83" s="68">
        <f t="shared" si="16"/>
        <v>-44.600000000000023</v>
      </c>
      <c r="H83" s="68">
        <f t="shared" si="17"/>
        <v>90.901672786617709</v>
      </c>
    </row>
    <row r="84" spans="1:8" ht="21.75" customHeight="1">
      <c r="A84" s="87"/>
      <c r="B84" s="49" t="s">
        <v>163</v>
      </c>
      <c r="C84" s="47"/>
      <c r="D84" s="16">
        <v>917.3</v>
      </c>
      <c r="E84" s="16">
        <v>1090.8</v>
      </c>
      <c r="F84" s="16">
        <f>22.8+1657.2+1</f>
        <v>1681</v>
      </c>
      <c r="G84" s="68">
        <f t="shared" si="16"/>
        <v>590.20000000000005</v>
      </c>
      <c r="H84" s="68">
        <f t="shared" si="17"/>
        <v>154.10707737440413</v>
      </c>
    </row>
    <row r="85" spans="1:8" ht="25.5" customHeight="1">
      <c r="A85" s="87"/>
      <c r="B85" s="49" t="s">
        <v>178</v>
      </c>
      <c r="C85" s="47"/>
      <c r="D85" s="16">
        <v>8.4</v>
      </c>
      <c r="E85" s="16"/>
      <c r="F85" s="16"/>
      <c r="G85" s="68"/>
      <c r="H85" s="68"/>
    </row>
    <row r="86" spans="1:8" ht="21.75" customHeight="1">
      <c r="A86" s="87"/>
      <c r="B86" s="43" t="s">
        <v>177</v>
      </c>
      <c r="C86" s="47"/>
      <c r="D86" s="16">
        <v>115.2</v>
      </c>
      <c r="E86" s="16">
        <v>120.6</v>
      </c>
      <c r="F86" s="16">
        <f>118.2+1.4+0.8</f>
        <v>120.4</v>
      </c>
      <c r="G86" s="68">
        <f t="shared" si="16"/>
        <v>-0.19999999999998863</v>
      </c>
      <c r="H86" s="68">
        <f t="shared" si="17"/>
        <v>99.834162520729691</v>
      </c>
    </row>
    <row r="87" spans="1:8" ht="21.75" customHeight="1">
      <c r="A87" s="87"/>
      <c r="B87" s="43" t="s">
        <v>392</v>
      </c>
      <c r="C87" s="47"/>
      <c r="D87" s="16">
        <v>6.8</v>
      </c>
      <c r="E87" s="16"/>
      <c r="F87" s="16">
        <v>6.8</v>
      </c>
      <c r="G87" s="68"/>
      <c r="H87" s="68"/>
    </row>
    <row r="88" spans="1:8" ht="24" customHeight="1">
      <c r="A88" s="87"/>
      <c r="B88" s="43" t="s">
        <v>161</v>
      </c>
      <c r="C88" s="47"/>
      <c r="D88" s="16">
        <v>305.8</v>
      </c>
      <c r="E88" s="16"/>
      <c r="F88" s="16"/>
      <c r="G88" s="68">
        <f t="shared" si="16"/>
        <v>0</v>
      </c>
      <c r="H88" s="68"/>
    </row>
    <row r="89" spans="1:8" ht="24" customHeight="1">
      <c r="A89" s="87"/>
      <c r="B89" s="43" t="s">
        <v>441</v>
      </c>
      <c r="C89" s="47"/>
      <c r="D89" s="16">
        <v>11.5</v>
      </c>
      <c r="E89" s="16"/>
      <c r="F89" s="16"/>
      <c r="G89" s="68"/>
      <c r="H89" s="68"/>
    </row>
    <row r="90" spans="1:8" ht="26.25" customHeight="1">
      <c r="A90" s="87"/>
      <c r="B90" s="43" t="s">
        <v>529</v>
      </c>
      <c r="C90" s="47"/>
      <c r="D90" s="16">
        <v>1.2</v>
      </c>
      <c r="E90" s="16"/>
      <c r="F90" s="16"/>
      <c r="G90" s="68"/>
      <c r="H90" s="68"/>
    </row>
    <row r="91" spans="1:8" ht="21.75" customHeight="1">
      <c r="A91" s="87"/>
      <c r="B91" s="41" t="s">
        <v>535</v>
      </c>
      <c r="C91" s="47"/>
      <c r="D91" s="16"/>
      <c r="E91" s="16"/>
      <c r="F91" s="16">
        <v>1.1000000000000001</v>
      </c>
      <c r="G91" s="68">
        <f t="shared" si="16"/>
        <v>1.1000000000000001</v>
      </c>
      <c r="H91" s="68"/>
    </row>
    <row r="92" spans="1:8" ht="25.5" customHeight="1">
      <c r="A92" s="87"/>
      <c r="B92" s="41" t="s">
        <v>187</v>
      </c>
      <c r="C92" s="47"/>
      <c r="D92" s="16">
        <v>32.1</v>
      </c>
      <c r="E92" s="16"/>
      <c r="F92" s="16"/>
      <c r="G92" s="68"/>
      <c r="H92" s="68"/>
    </row>
    <row r="93" spans="1:8" ht="24" customHeight="1">
      <c r="A93" s="87"/>
      <c r="B93" s="41" t="s">
        <v>530</v>
      </c>
      <c r="C93" s="47"/>
      <c r="D93" s="16">
        <v>0.9</v>
      </c>
      <c r="E93" s="16"/>
      <c r="F93" s="16"/>
      <c r="G93" s="68"/>
      <c r="H93" s="68"/>
    </row>
    <row r="94" spans="1:8" ht="24.75" customHeight="1">
      <c r="A94" s="87"/>
      <c r="B94" s="43" t="s">
        <v>361</v>
      </c>
      <c r="C94" s="47"/>
      <c r="D94" s="16"/>
      <c r="E94" s="16"/>
      <c r="F94" s="16">
        <v>8.1</v>
      </c>
      <c r="G94" s="68">
        <f t="shared" si="16"/>
        <v>8.1</v>
      </c>
      <c r="H94" s="68"/>
    </row>
    <row r="95" spans="1:8" ht="23.25" customHeight="1">
      <c r="A95" s="87"/>
      <c r="B95" s="43" t="s">
        <v>343</v>
      </c>
      <c r="C95" s="47"/>
      <c r="D95" s="16"/>
      <c r="E95" s="16">
        <v>4</v>
      </c>
      <c r="F95" s="16">
        <v>4</v>
      </c>
      <c r="G95" s="68">
        <f t="shared" si="16"/>
        <v>0</v>
      </c>
      <c r="H95" s="68">
        <f t="shared" si="17"/>
        <v>100</v>
      </c>
    </row>
    <row r="96" spans="1:8" ht="27" customHeight="1">
      <c r="A96" s="87"/>
      <c r="B96" s="43" t="s">
        <v>531</v>
      </c>
      <c r="C96" s="47"/>
      <c r="D96" s="16">
        <v>3.2</v>
      </c>
      <c r="E96" s="16"/>
      <c r="F96" s="16"/>
      <c r="G96" s="68"/>
      <c r="H96" s="68"/>
    </row>
    <row r="97" spans="1:18" s="75" customFormat="1" ht="31.5" customHeight="1">
      <c r="A97" s="401" t="s">
        <v>80</v>
      </c>
      <c r="B97" s="402"/>
      <c r="C97" s="78"/>
      <c r="D97" s="15"/>
      <c r="E97" s="15"/>
      <c r="F97" s="15"/>
      <c r="G97" s="66"/>
      <c r="H97" s="66"/>
    </row>
    <row r="98" spans="1:18" s="75" customFormat="1" ht="30" customHeight="1">
      <c r="A98" s="408" t="s">
        <v>78</v>
      </c>
      <c r="B98" s="409"/>
      <c r="C98" s="64">
        <v>1021</v>
      </c>
      <c r="D98" s="15">
        <f>SUM(D99:D102)</f>
        <v>0</v>
      </c>
      <c r="E98" s="15">
        <f>SUM(E99:E102)</f>
        <v>35.5</v>
      </c>
      <c r="F98" s="15">
        <f>SUM(F99:F102)</f>
        <v>83.5</v>
      </c>
      <c r="G98" s="66">
        <f>F98-E98</f>
        <v>48</v>
      </c>
      <c r="H98" s="66">
        <f>(F98/E98)*100</f>
        <v>235.21126760563379</v>
      </c>
    </row>
    <row r="99" spans="1:18" s="75" customFormat="1" ht="24.75" customHeight="1">
      <c r="A99" s="185"/>
      <c r="B99" s="49" t="s">
        <v>349</v>
      </c>
      <c r="C99" s="64"/>
      <c r="D99" s="16"/>
      <c r="E99" s="16">
        <v>1.6</v>
      </c>
      <c r="F99" s="16">
        <f>5.7+30.8</f>
        <v>36.5</v>
      </c>
      <c r="G99" s="68">
        <f t="shared" ref="G99:G102" si="18">F99-E99</f>
        <v>34.9</v>
      </c>
      <c r="H99" s="68">
        <f t="shared" ref="H99:H101" si="19">(F99/E99)*100</f>
        <v>2281.25</v>
      </c>
    </row>
    <row r="100" spans="1:18" s="75" customFormat="1" ht="42.75" customHeight="1">
      <c r="A100" s="185"/>
      <c r="B100" s="41" t="s">
        <v>145</v>
      </c>
      <c r="C100" s="64"/>
      <c r="D100" s="16"/>
      <c r="E100" s="16">
        <v>24</v>
      </c>
      <c r="F100" s="16">
        <f>35.6+3.4</f>
        <v>39</v>
      </c>
      <c r="G100" s="68">
        <f t="shared" si="18"/>
        <v>15</v>
      </c>
      <c r="H100" s="68">
        <f t="shared" si="19"/>
        <v>162.5</v>
      </c>
    </row>
    <row r="101" spans="1:18" s="75" customFormat="1" ht="46.5" customHeight="1">
      <c r="A101" s="185"/>
      <c r="B101" s="41" t="s">
        <v>366</v>
      </c>
      <c r="C101" s="64"/>
      <c r="D101" s="16"/>
      <c r="E101" s="16">
        <v>9.9</v>
      </c>
      <c r="F101" s="16"/>
      <c r="G101" s="68">
        <f t="shared" si="18"/>
        <v>-9.9</v>
      </c>
      <c r="H101" s="68">
        <f t="shared" si="19"/>
        <v>0</v>
      </c>
    </row>
    <row r="102" spans="1:18" s="75" customFormat="1" ht="28.5" customHeight="1">
      <c r="A102" s="185"/>
      <c r="B102" s="41" t="s">
        <v>652</v>
      </c>
      <c r="C102" s="64"/>
      <c r="D102" s="16"/>
      <c r="E102" s="16"/>
      <c r="F102" s="16">
        <v>8</v>
      </c>
      <c r="G102" s="68">
        <f t="shared" si="18"/>
        <v>8</v>
      </c>
      <c r="H102" s="68"/>
    </row>
    <row r="103" spans="1:18" s="75" customFormat="1" ht="31.5" customHeight="1">
      <c r="A103" s="408" t="s">
        <v>81</v>
      </c>
      <c r="B103" s="409"/>
      <c r="C103" s="78">
        <v>1025</v>
      </c>
      <c r="D103" s="15">
        <f>SUM(D105:D126)</f>
        <v>256.8</v>
      </c>
      <c r="E103" s="15">
        <f>SUM(E105:E126)</f>
        <v>191.5</v>
      </c>
      <c r="F103" s="15">
        <f>SUM(F104:F126)</f>
        <v>521.20000000000005</v>
      </c>
      <c r="G103" s="15">
        <f>SUM(G104:G126)</f>
        <v>177.39999999999998</v>
      </c>
      <c r="H103" s="66">
        <f>(F103/E103)*100</f>
        <v>272.16710182767628</v>
      </c>
    </row>
    <row r="104" spans="1:18" s="75" customFormat="1" ht="21.75" customHeight="1">
      <c r="A104" s="185"/>
      <c r="B104" s="49" t="s">
        <v>344</v>
      </c>
      <c r="C104" s="78"/>
      <c r="D104" s="15"/>
      <c r="E104" s="15"/>
      <c r="F104" s="16">
        <f>2.9</f>
        <v>2.9</v>
      </c>
      <c r="G104" s="68">
        <f t="shared" ref="G104:G126" si="20">F104-E104</f>
        <v>2.9</v>
      </c>
      <c r="H104" s="68"/>
    </row>
    <row r="105" spans="1:18" s="75" customFormat="1" ht="24" customHeight="1">
      <c r="A105" s="185"/>
      <c r="B105" s="49" t="s">
        <v>139</v>
      </c>
      <c r="C105" s="78"/>
      <c r="D105" s="16">
        <v>5.5</v>
      </c>
      <c r="E105" s="16">
        <v>4.9000000000000004</v>
      </c>
      <c r="F105" s="16">
        <f>6.7+4.7+1.2</f>
        <v>12.6</v>
      </c>
      <c r="G105" s="68">
        <f t="shared" si="20"/>
        <v>7.6999999999999993</v>
      </c>
      <c r="H105" s="68">
        <f t="shared" ref="H105:H126" si="21">(F105/E105)*100</f>
        <v>257.14285714285711</v>
      </c>
    </row>
    <row r="106" spans="1:18" s="75" customFormat="1" ht="23.25" customHeight="1">
      <c r="A106" s="185"/>
      <c r="B106" s="41" t="s">
        <v>355</v>
      </c>
      <c r="C106" s="78"/>
      <c r="D106" s="16"/>
      <c r="E106" s="16"/>
      <c r="F106" s="16">
        <f>16.9+20.2</f>
        <v>37.099999999999994</v>
      </c>
      <c r="G106" s="68">
        <f t="shared" si="20"/>
        <v>37.099999999999994</v>
      </c>
      <c r="H106" s="68" t="e">
        <f t="shared" si="21"/>
        <v>#DIV/0!</v>
      </c>
    </row>
    <row r="107" spans="1:18" s="75" customFormat="1" ht="25.5" customHeight="1">
      <c r="A107" s="185"/>
      <c r="B107" s="49" t="s">
        <v>386</v>
      </c>
      <c r="C107" s="78"/>
      <c r="D107" s="16"/>
      <c r="E107" s="16"/>
      <c r="F107" s="16">
        <f>54.4+8.2</f>
        <v>62.599999999999994</v>
      </c>
      <c r="G107" s="68">
        <f t="shared" si="20"/>
        <v>62.599999999999994</v>
      </c>
      <c r="H107" s="68"/>
      <c r="R107" s="81"/>
    </row>
    <row r="108" spans="1:18" s="75" customFormat="1" ht="29.25" customHeight="1">
      <c r="A108" s="222"/>
      <c r="B108" s="49" t="s">
        <v>579</v>
      </c>
      <c r="C108" s="78"/>
      <c r="D108" s="16"/>
      <c r="E108" s="16"/>
      <c r="F108" s="16">
        <v>0.4</v>
      </c>
      <c r="G108" s="68"/>
      <c r="H108" s="68"/>
    </row>
    <row r="109" spans="1:18" s="75" customFormat="1" ht="23.25" customHeight="1">
      <c r="A109" s="185"/>
      <c r="B109" s="49" t="s">
        <v>385</v>
      </c>
      <c r="C109" s="78"/>
      <c r="D109" s="16"/>
      <c r="E109" s="16">
        <v>2</v>
      </c>
      <c r="F109" s="16">
        <v>4.7</v>
      </c>
      <c r="G109" s="68">
        <f t="shared" si="20"/>
        <v>2.7</v>
      </c>
      <c r="H109" s="68">
        <f t="shared" si="21"/>
        <v>235</v>
      </c>
    </row>
    <row r="110" spans="1:18" s="75" customFormat="1" ht="24" customHeight="1">
      <c r="A110" s="185"/>
      <c r="B110" s="49" t="s">
        <v>401</v>
      </c>
      <c r="C110" s="78"/>
      <c r="D110" s="16"/>
      <c r="E110" s="16"/>
      <c r="F110" s="16">
        <v>4.0999999999999996</v>
      </c>
      <c r="G110" s="68">
        <f t="shared" si="20"/>
        <v>4.0999999999999996</v>
      </c>
      <c r="H110" s="68"/>
    </row>
    <row r="111" spans="1:18" s="75" customFormat="1" ht="23.25" customHeight="1">
      <c r="A111" s="185"/>
      <c r="B111" s="49" t="s">
        <v>528</v>
      </c>
      <c r="C111" s="78"/>
      <c r="D111" s="16"/>
      <c r="E111" s="16">
        <v>11.4</v>
      </c>
      <c r="F111" s="16"/>
      <c r="G111" s="68"/>
      <c r="H111" s="68"/>
    </row>
    <row r="112" spans="1:18" s="75" customFormat="1" ht="39.75" customHeight="1">
      <c r="A112" s="185"/>
      <c r="B112" s="49" t="s">
        <v>381</v>
      </c>
      <c r="C112" s="78"/>
      <c r="D112" s="16">
        <v>27</v>
      </c>
      <c r="E112" s="16">
        <v>45.1</v>
      </c>
      <c r="F112" s="16">
        <f>26+22.5+1.4+13.2</f>
        <v>63.099999999999994</v>
      </c>
      <c r="G112" s="68">
        <f t="shared" si="20"/>
        <v>17.999999999999993</v>
      </c>
      <c r="H112" s="68">
        <f t="shared" si="21"/>
        <v>139.91130820399113</v>
      </c>
    </row>
    <row r="113" spans="1:8" s="75" customFormat="1" ht="26.25" customHeight="1">
      <c r="A113" s="185"/>
      <c r="B113" s="49" t="s">
        <v>356</v>
      </c>
      <c r="C113" s="78"/>
      <c r="D113" s="16">
        <v>3.7</v>
      </c>
      <c r="E113" s="16">
        <v>3.5</v>
      </c>
      <c r="F113" s="16">
        <f>2.2+1.5</f>
        <v>3.7</v>
      </c>
      <c r="G113" s="68">
        <f t="shared" si="20"/>
        <v>0.20000000000000018</v>
      </c>
      <c r="H113" s="68">
        <f t="shared" si="21"/>
        <v>105.71428571428572</v>
      </c>
    </row>
    <row r="114" spans="1:8" s="75" customFormat="1" ht="23.25" customHeight="1">
      <c r="A114" s="185"/>
      <c r="B114" s="49" t="s">
        <v>354</v>
      </c>
      <c r="C114" s="78"/>
      <c r="D114" s="16">
        <v>4.4000000000000004</v>
      </c>
      <c r="E114" s="16">
        <v>5.2</v>
      </c>
      <c r="F114" s="16">
        <f>2.3+1.2+3.5</f>
        <v>7</v>
      </c>
      <c r="G114" s="68">
        <f t="shared" si="20"/>
        <v>1.7999999999999998</v>
      </c>
      <c r="H114" s="68">
        <f t="shared" si="21"/>
        <v>134.61538461538461</v>
      </c>
    </row>
    <row r="115" spans="1:8" s="75" customFormat="1" ht="23.25" customHeight="1">
      <c r="A115" s="185"/>
      <c r="B115" s="49" t="s">
        <v>397</v>
      </c>
      <c r="C115" s="78"/>
      <c r="D115" s="16">
        <v>76</v>
      </c>
      <c r="E115" s="16"/>
      <c r="F115" s="16">
        <f>4.4+158.9</f>
        <v>163.30000000000001</v>
      </c>
      <c r="G115" s="68"/>
      <c r="H115" s="68"/>
    </row>
    <row r="116" spans="1:8" s="75" customFormat="1" ht="24" customHeight="1">
      <c r="A116" s="185"/>
      <c r="B116" s="49" t="s">
        <v>176</v>
      </c>
      <c r="C116" s="78"/>
      <c r="D116" s="16">
        <v>120.6</v>
      </c>
      <c r="E116" s="16"/>
      <c r="F116" s="16"/>
      <c r="G116" s="68">
        <f t="shared" si="20"/>
        <v>0</v>
      </c>
      <c r="H116" s="68"/>
    </row>
    <row r="117" spans="1:8" s="75" customFormat="1" ht="24" customHeight="1">
      <c r="A117" s="185"/>
      <c r="B117" s="49" t="s">
        <v>164</v>
      </c>
      <c r="C117" s="78"/>
      <c r="D117" s="16"/>
      <c r="E117" s="16">
        <v>37.6</v>
      </c>
      <c r="F117" s="16">
        <v>83.8</v>
      </c>
      <c r="G117" s="68">
        <f t="shared" si="20"/>
        <v>46.199999999999996</v>
      </c>
      <c r="H117" s="68">
        <f t="shared" si="21"/>
        <v>222.87234042553189</v>
      </c>
    </row>
    <row r="118" spans="1:8" s="75" customFormat="1" ht="25.5" customHeight="1">
      <c r="A118" s="185"/>
      <c r="B118" s="49" t="s">
        <v>342</v>
      </c>
      <c r="C118" s="78"/>
      <c r="D118" s="16"/>
      <c r="E118" s="16">
        <v>9.4</v>
      </c>
      <c r="F118" s="16">
        <v>2.2000000000000002</v>
      </c>
      <c r="G118" s="68">
        <f t="shared" si="20"/>
        <v>-7.2</v>
      </c>
      <c r="H118" s="68">
        <f t="shared" si="21"/>
        <v>23.404255319148938</v>
      </c>
    </row>
    <row r="119" spans="1:8" s="75" customFormat="1" ht="21" customHeight="1">
      <c r="A119" s="185"/>
      <c r="B119" s="49" t="s">
        <v>163</v>
      </c>
      <c r="C119" s="78"/>
      <c r="D119" s="16"/>
      <c r="E119" s="16">
        <v>19.7</v>
      </c>
      <c r="F119" s="16">
        <f>3.1+8.9</f>
        <v>12</v>
      </c>
      <c r="G119" s="68">
        <f t="shared" si="20"/>
        <v>-7.6999999999999993</v>
      </c>
      <c r="H119" s="68">
        <f t="shared" si="21"/>
        <v>60.913705583756354</v>
      </c>
    </row>
    <row r="120" spans="1:8" s="75" customFormat="1" ht="23.25" customHeight="1">
      <c r="A120" s="88"/>
      <c r="B120" s="43" t="s">
        <v>177</v>
      </c>
      <c r="C120" s="79"/>
      <c r="D120" s="16"/>
      <c r="E120" s="16">
        <v>2.4</v>
      </c>
      <c r="F120" s="16">
        <v>0.5</v>
      </c>
      <c r="G120" s="68">
        <f t="shared" si="20"/>
        <v>-1.9</v>
      </c>
      <c r="H120" s="68">
        <f t="shared" si="21"/>
        <v>20.833333333333336</v>
      </c>
    </row>
    <row r="121" spans="1:8" s="75" customFormat="1" ht="23.25" customHeight="1">
      <c r="A121" s="88"/>
      <c r="B121" s="43" t="s">
        <v>383</v>
      </c>
      <c r="C121" s="79"/>
      <c r="D121" s="16"/>
      <c r="E121" s="16">
        <v>6.2</v>
      </c>
      <c r="F121" s="16">
        <f>8.6+5</f>
        <v>13.6</v>
      </c>
      <c r="G121" s="68">
        <f t="shared" si="20"/>
        <v>7.3999999999999995</v>
      </c>
      <c r="H121" s="68">
        <f t="shared" si="21"/>
        <v>219.35483870967741</v>
      </c>
    </row>
    <row r="122" spans="1:8" s="75" customFormat="1" ht="21.75" customHeight="1">
      <c r="A122" s="88"/>
      <c r="B122" s="43" t="s">
        <v>175</v>
      </c>
      <c r="C122" s="79"/>
      <c r="D122" s="16"/>
      <c r="E122" s="16"/>
      <c r="F122" s="16">
        <v>3.9</v>
      </c>
      <c r="G122" s="68">
        <f t="shared" si="20"/>
        <v>3.9</v>
      </c>
      <c r="H122" s="68"/>
    </row>
    <row r="123" spans="1:8" s="75" customFormat="1" ht="21" customHeight="1">
      <c r="A123" s="88"/>
      <c r="B123" s="49" t="s">
        <v>357</v>
      </c>
      <c r="C123" s="79"/>
      <c r="D123" s="16">
        <v>19.600000000000001</v>
      </c>
      <c r="E123" s="16">
        <v>24</v>
      </c>
      <c r="F123" s="16">
        <v>23.9</v>
      </c>
      <c r="G123" s="68">
        <f t="shared" si="20"/>
        <v>-0.10000000000000142</v>
      </c>
      <c r="H123" s="68">
        <f t="shared" si="21"/>
        <v>99.583333333333329</v>
      </c>
    </row>
    <row r="124" spans="1:8" s="75" customFormat="1" ht="21.75" customHeight="1">
      <c r="A124" s="88"/>
      <c r="B124" s="43" t="s">
        <v>352</v>
      </c>
      <c r="C124" s="79"/>
      <c r="D124" s="16"/>
      <c r="E124" s="16">
        <v>16.7</v>
      </c>
      <c r="F124" s="16">
        <v>16.7</v>
      </c>
      <c r="G124" s="68">
        <f t="shared" si="20"/>
        <v>0</v>
      </c>
      <c r="H124" s="68">
        <f t="shared" si="21"/>
        <v>100</v>
      </c>
    </row>
    <row r="125" spans="1:8" s="75" customFormat="1" ht="21.75" customHeight="1">
      <c r="A125" s="88"/>
      <c r="B125" s="43" t="s">
        <v>369</v>
      </c>
      <c r="C125" s="79"/>
      <c r="D125" s="16"/>
      <c r="E125" s="16"/>
      <c r="F125" s="16">
        <v>1.7</v>
      </c>
      <c r="G125" s="68">
        <f t="shared" si="20"/>
        <v>1.7</v>
      </c>
      <c r="H125" s="68"/>
    </row>
    <row r="126" spans="1:8" s="75" customFormat="1" ht="23.25" customHeight="1">
      <c r="A126" s="80"/>
      <c r="B126" s="43" t="s">
        <v>388</v>
      </c>
      <c r="C126" s="79"/>
      <c r="D126" s="16"/>
      <c r="E126" s="16">
        <v>3.4</v>
      </c>
      <c r="F126" s="16">
        <v>1.4</v>
      </c>
      <c r="G126" s="68">
        <f t="shared" si="20"/>
        <v>-2</v>
      </c>
      <c r="H126" s="68">
        <f t="shared" si="21"/>
        <v>41.17647058823529</v>
      </c>
    </row>
    <row r="127" spans="1:8" s="75" customFormat="1" ht="37.5" customHeight="1">
      <c r="A127" s="401" t="s">
        <v>120</v>
      </c>
      <c r="B127" s="402"/>
      <c r="C127" s="78"/>
      <c r="D127" s="15"/>
      <c r="E127" s="15"/>
      <c r="F127" s="15"/>
      <c r="G127" s="66"/>
      <c r="H127" s="66"/>
    </row>
    <row r="128" spans="1:8" s="75" customFormat="1" ht="39" customHeight="1">
      <c r="A128" s="401" t="s">
        <v>105</v>
      </c>
      <c r="B128" s="402"/>
      <c r="C128" s="78">
        <v>1031</v>
      </c>
      <c r="D128" s="15">
        <f>SUM(D129:D129)</f>
        <v>25.6</v>
      </c>
      <c r="E128" s="15">
        <f t="shared" ref="E128:F128" si="22">SUM(E129:E129)</f>
        <v>0</v>
      </c>
      <c r="F128" s="15">
        <f t="shared" si="22"/>
        <v>0</v>
      </c>
      <c r="G128" s="66">
        <f>F128-E128</f>
        <v>0</v>
      </c>
      <c r="H128" s="66"/>
    </row>
    <row r="129" spans="1:8" s="75" customFormat="1" ht="24" customHeight="1">
      <c r="A129" s="184"/>
      <c r="B129" s="49" t="s">
        <v>166</v>
      </c>
      <c r="C129" s="78"/>
      <c r="D129" s="16">
        <v>25.6</v>
      </c>
      <c r="E129" s="15"/>
      <c r="F129" s="15"/>
      <c r="G129" s="66">
        <f t="shared" ref="G129" si="23">F129-E129</f>
        <v>0</v>
      </c>
      <c r="H129" s="66"/>
    </row>
    <row r="130" spans="1:8" s="75" customFormat="1" ht="37.5" customHeight="1">
      <c r="A130" s="401" t="s">
        <v>91</v>
      </c>
      <c r="B130" s="402"/>
      <c r="C130" s="78">
        <v>1035</v>
      </c>
      <c r="D130" s="15">
        <f>SUM(D131:D148)</f>
        <v>115.9</v>
      </c>
      <c r="E130" s="15">
        <f>SUM(E131:E148)</f>
        <v>270.5</v>
      </c>
      <c r="F130" s="15">
        <f>SUM(F131:F148)</f>
        <v>175.49999999999994</v>
      </c>
      <c r="G130" s="66">
        <f>F130-E130</f>
        <v>-95.000000000000057</v>
      </c>
      <c r="H130" s="66">
        <f>(F130/E130)*100</f>
        <v>64.879852125693134</v>
      </c>
    </row>
    <row r="131" spans="1:8" s="75" customFormat="1" ht="23.25" customHeight="1">
      <c r="A131" s="184"/>
      <c r="B131" s="49" t="s">
        <v>164</v>
      </c>
      <c r="C131" s="78"/>
      <c r="D131" s="16"/>
      <c r="E131" s="15"/>
      <c r="F131" s="16">
        <f>12.8+2.1</f>
        <v>14.9</v>
      </c>
      <c r="G131" s="68">
        <f t="shared" ref="G131:G148" si="24">F131-E131</f>
        <v>14.9</v>
      </c>
      <c r="H131" s="68"/>
    </row>
    <row r="132" spans="1:8" s="75" customFormat="1" ht="24" customHeight="1">
      <c r="A132" s="184"/>
      <c r="B132" s="49" t="s">
        <v>342</v>
      </c>
      <c r="C132" s="78"/>
      <c r="D132" s="16">
        <v>11.4</v>
      </c>
      <c r="E132" s="16">
        <v>12.2</v>
      </c>
      <c r="F132" s="16">
        <f>1.1+0.7</f>
        <v>1.8</v>
      </c>
      <c r="G132" s="68">
        <f t="shared" si="24"/>
        <v>-10.399999999999999</v>
      </c>
      <c r="H132" s="68">
        <f t="shared" ref="H132:H148" si="25">(F132/E132)*100</f>
        <v>14.754098360655741</v>
      </c>
    </row>
    <row r="133" spans="1:8" s="75" customFormat="1" ht="23.25" customHeight="1">
      <c r="A133" s="184"/>
      <c r="B133" s="49" t="s">
        <v>163</v>
      </c>
      <c r="C133" s="78"/>
      <c r="D133" s="16">
        <v>0.9</v>
      </c>
      <c r="E133" s="16">
        <v>1.6</v>
      </c>
      <c r="F133" s="16">
        <f>24.3+4.2</f>
        <v>28.5</v>
      </c>
      <c r="G133" s="68">
        <f t="shared" si="24"/>
        <v>26.9</v>
      </c>
      <c r="H133" s="68">
        <f t="shared" si="25"/>
        <v>1781.25</v>
      </c>
    </row>
    <row r="134" spans="1:8" s="75" customFormat="1" ht="21.75" customHeight="1">
      <c r="A134" s="88"/>
      <c r="B134" s="43" t="s">
        <v>177</v>
      </c>
      <c r="C134" s="79"/>
      <c r="D134" s="16">
        <v>28.9</v>
      </c>
      <c r="E134" s="16">
        <v>18</v>
      </c>
      <c r="F134" s="16"/>
      <c r="G134" s="68">
        <f t="shared" si="24"/>
        <v>-18</v>
      </c>
      <c r="H134" s="68">
        <f t="shared" si="25"/>
        <v>0</v>
      </c>
    </row>
    <row r="135" spans="1:8" s="75" customFormat="1" ht="23.25" customHeight="1">
      <c r="A135" s="88"/>
      <c r="B135" s="43" t="s">
        <v>348</v>
      </c>
      <c r="C135" s="79"/>
      <c r="D135" s="16"/>
      <c r="E135" s="16">
        <v>3.3</v>
      </c>
      <c r="F135" s="16">
        <v>3.3</v>
      </c>
      <c r="G135" s="68">
        <f t="shared" si="24"/>
        <v>0</v>
      </c>
      <c r="H135" s="68">
        <f t="shared" si="25"/>
        <v>100</v>
      </c>
    </row>
    <row r="136" spans="1:8" s="75" customFormat="1" ht="23.25" customHeight="1">
      <c r="A136" s="88"/>
      <c r="B136" s="49" t="s">
        <v>340</v>
      </c>
      <c r="C136" s="79"/>
      <c r="D136" s="16">
        <v>0.4</v>
      </c>
      <c r="E136" s="16"/>
      <c r="F136" s="16"/>
      <c r="G136" s="68"/>
      <c r="H136" s="68"/>
    </row>
    <row r="137" spans="1:8" s="75" customFormat="1" ht="23.25" customHeight="1">
      <c r="A137" s="88"/>
      <c r="B137" s="43" t="s">
        <v>179</v>
      </c>
      <c r="C137" s="79"/>
      <c r="D137" s="16">
        <v>0.6</v>
      </c>
      <c r="E137" s="16"/>
      <c r="F137" s="16"/>
      <c r="G137" s="68">
        <f t="shared" si="24"/>
        <v>0</v>
      </c>
      <c r="H137" s="68"/>
    </row>
    <row r="138" spans="1:8" s="75" customFormat="1" ht="21" customHeight="1">
      <c r="A138" s="88"/>
      <c r="B138" s="43" t="s">
        <v>389</v>
      </c>
      <c r="C138" s="79"/>
      <c r="D138" s="16"/>
      <c r="E138" s="16">
        <v>120.4</v>
      </c>
      <c r="F138" s="16"/>
      <c r="G138" s="68">
        <f t="shared" si="24"/>
        <v>-120.4</v>
      </c>
      <c r="H138" s="68">
        <f t="shared" si="25"/>
        <v>0</v>
      </c>
    </row>
    <row r="139" spans="1:8" s="75" customFormat="1" ht="23.25" customHeight="1">
      <c r="A139" s="88"/>
      <c r="B139" s="43" t="s">
        <v>390</v>
      </c>
      <c r="C139" s="79"/>
      <c r="D139" s="16"/>
      <c r="E139" s="16">
        <v>1.6</v>
      </c>
      <c r="F139" s="16">
        <v>1.6</v>
      </c>
      <c r="G139" s="68">
        <f t="shared" si="24"/>
        <v>0</v>
      </c>
      <c r="H139" s="68">
        <f t="shared" si="25"/>
        <v>100</v>
      </c>
    </row>
    <row r="140" spans="1:8" s="75" customFormat="1" ht="20.25" customHeight="1">
      <c r="A140" s="88"/>
      <c r="B140" s="43" t="s">
        <v>171</v>
      </c>
      <c r="C140" s="79"/>
      <c r="D140" s="16">
        <v>0.6</v>
      </c>
      <c r="E140" s="16">
        <v>0.3</v>
      </c>
      <c r="F140" s="16">
        <v>0.3</v>
      </c>
      <c r="G140" s="68">
        <f t="shared" si="24"/>
        <v>0</v>
      </c>
      <c r="H140" s="68">
        <f t="shared" si="25"/>
        <v>100</v>
      </c>
    </row>
    <row r="141" spans="1:8" s="75" customFormat="1" ht="21" customHeight="1">
      <c r="A141" s="88"/>
      <c r="B141" s="43" t="s">
        <v>361</v>
      </c>
      <c r="C141" s="79"/>
      <c r="D141" s="16">
        <v>66.2</v>
      </c>
      <c r="E141" s="16">
        <v>111.2</v>
      </c>
      <c r="F141" s="16">
        <v>90.8</v>
      </c>
      <c r="G141" s="68">
        <f t="shared" si="24"/>
        <v>-20.400000000000006</v>
      </c>
      <c r="H141" s="68">
        <f t="shared" si="25"/>
        <v>81.654676258992794</v>
      </c>
    </row>
    <row r="142" spans="1:8" s="75" customFormat="1" ht="21" customHeight="1">
      <c r="A142" s="88"/>
      <c r="B142" s="43" t="s">
        <v>362</v>
      </c>
      <c r="C142" s="79"/>
      <c r="D142" s="16">
        <v>0.2</v>
      </c>
      <c r="E142" s="16">
        <v>0.7</v>
      </c>
      <c r="F142" s="16"/>
      <c r="G142" s="68">
        <f t="shared" si="24"/>
        <v>-0.7</v>
      </c>
      <c r="H142" s="68">
        <f t="shared" si="25"/>
        <v>0</v>
      </c>
    </row>
    <row r="143" spans="1:8" s="75" customFormat="1" ht="21" customHeight="1">
      <c r="A143" s="88"/>
      <c r="B143" s="41" t="s">
        <v>536</v>
      </c>
      <c r="C143" s="79"/>
      <c r="D143" s="16"/>
      <c r="E143" s="16"/>
      <c r="F143" s="16">
        <v>7.7</v>
      </c>
      <c r="G143" s="68">
        <f t="shared" si="24"/>
        <v>7.7</v>
      </c>
      <c r="H143" s="68"/>
    </row>
    <row r="144" spans="1:8" s="75" customFormat="1" ht="24" customHeight="1">
      <c r="A144" s="88"/>
      <c r="B144" s="43" t="s">
        <v>369</v>
      </c>
      <c r="C144" s="79"/>
      <c r="D144" s="16"/>
      <c r="E144" s="16"/>
      <c r="F144" s="16">
        <v>0.6</v>
      </c>
      <c r="G144" s="68">
        <f t="shared" si="24"/>
        <v>0.6</v>
      </c>
      <c r="H144" s="68"/>
    </row>
    <row r="145" spans="1:8" s="75" customFormat="1" ht="21.75" customHeight="1">
      <c r="A145" s="88"/>
      <c r="B145" s="43" t="s">
        <v>394</v>
      </c>
      <c r="C145" s="79"/>
      <c r="D145" s="16">
        <v>6.7</v>
      </c>
      <c r="E145" s="16"/>
      <c r="F145" s="16">
        <v>8.1999999999999993</v>
      </c>
      <c r="G145" s="68">
        <f t="shared" si="24"/>
        <v>8.1999999999999993</v>
      </c>
      <c r="H145" s="68"/>
    </row>
    <row r="146" spans="1:8" s="75" customFormat="1" ht="22.5" customHeight="1">
      <c r="A146" s="88"/>
      <c r="B146" s="43" t="s">
        <v>402</v>
      </c>
      <c r="C146" s="79"/>
      <c r="D146" s="16"/>
      <c r="E146" s="16"/>
      <c r="F146" s="16">
        <v>16.2</v>
      </c>
      <c r="G146" s="68">
        <f t="shared" si="24"/>
        <v>16.2</v>
      </c>
      <c r="H146" s="68"/>
    </row>
    <row r="147" spans="1:8" s="75" customFormat="1" ht="24" customHeight="1">
      <c r="A147" s="88"/>
      <c r="B147" s="43" t="s">
        <v>330</v>
      </c>
      <c r="C147" s="79"/>
      <c r="D147" s="16"/>
      <c r="E147" s="16"/>
      <c r="F147" s="16">
        <v>0.4</v>
      </c>
      <c r="G147" s="68">
        <f t="shared" si="24"/>
        <v>0.4</v>
      </c>
      <c r="H147" s="68"/>
    </row>
    <row r="148" spans="1:8" s="75" customFormat="1" ht="27" customHeight="1">
      <c r="A148" s="88"/>
      <c r="B148" s="49" t="s">
        <v>391</v>
      </c>
      <c r="C148" s="79"/>
      <c r="D148" s="16"/>
      <c r="E148" s="16">
        <v>1.2</v>
      </c>
      <c r="F148" s="16">
        <v>1.2</v>
      </c>
      <c r="G148" s="68">
        <f t="shared" si="24"/>
        <v>0</v>
      </c>
      <c r="H148" s="68">
        <f t="shared" si="25"/>
        <v>100</v>
      </c>
    </row>
    <row r="149" spans="1:8">
      <c r="B149" s="73"/>
      <c r="D149" s="103"/>
      <c r="E149" s="74"/>
      <c r="F149" s="74"/>
    </row>
    <row r="150" spans="1:8" ht="24.75" customHeight="1">
      <c r="B150" s="161" t="s">
        <v>432</v>
      </c>
      <c r="C150" s="17"/>
      <c r="D150" s="404"/>
      <c r="E150" s="404"/>
      <c r="F150" s="104"/>
      <c r="G150" s="399" t="s">
        <v>520</v>
      </c>
      <c r="H150" s="399"/>
    </row>
    <row r="151" spans="1:8">
      <c r="B151" s="187" t="s">
        <v>59</v>
      </c>
      <c r="C151" s="18"/>
      <c r="D151" s="405" t="s">
        <v>65</v>
      </c>
      <c r="E151" s="405"/>
      <c r="F151" s="189"/>
      <c r="G151" s="400" t="s">
        <v>18</v>
      </c>
      <c r="H151" s="400"/>
    </row>
    <row r="152" spans="1:8" ht="7.5" customHeight="1">
      <c r="B152" s="73"/>
      <c r="D152" s="103"/>
      <c r="E152" s="74"/>
      <c r="F152" s="74"/>
    </row>
    <row r="153" spans="1:8" hidden="1">
      <c r="B153" s="73"/>
      <c r="D153" s="103"/>
      <c r="E153" s="74"/>
      <c r="F153" s="74"/>
    </row>
    <row r="154" spans="1:8">
      <c r="B154" s="73"/>
      <c r="D154" s="103"/>
      <c r="E154" s="74"/>
      <c r="F154" s="74"/>
    </row>
    <row r="155" spans="1:8">
      <c r="B155" s="73"/>
      <c r="D155" s="103"/>
      <c r="E155" s="74"/>
      <c r="F155" s="74"/>
    </row>
    <row r="156" spans="1:8">
      <c r="B156" s="73"/>
      <c r="D156" s="103"/>
      <c r="E156" s="74"/>
      <c r="F156" s="74"/>
    </row>
    <row r="157" spans="1:8">
      <c r="B157" s="73"/>
      <c r="D157" s="103"/>
      <c r="E157" s="74"/>
      <c r="F157" s="74"/>
    </row>
    <row r="158" spans="1:8">
      <c r="B158" s="73"/>
      <c r="D158" s="103"/>
      <c r="E158" s="74"/>
      <c r="F158" s="74"/>
    </row>
    <row r="159" spans="1:8">
      <c r="B159" s="73"/>
      <c r="D159" s="103"/>
      <c r="E159" s="74"/>
      <c r="F159" s="74"/>
    </row>
    <row r="160" spans="1:8">
      <c r="B160" s="73"/>
      <c r="D160" s="103"/>
      <c r="E160" s="74"/>
      <c r="F160" s="74"/>
    </row>
    <row r="161" spans="2:6">
      <c r="B161" s="73"/>
      <c r="D161" s="103"/>
      <c r="E161" s="74"/>
      <c r="F161" s="74"/>
    </row>
    <row r="162" spans="2:6">
      <c r="B162" s="73"/>
      <c r="D162" s="103"/>
      <c r="E162" s="74"/>
      <c r="F162" s="74"/>
    </row>
    <row r="163" spans="2:6">
      <c r="B163" s="73"/>
      <c r="D163" s="103"/>
      <c r="E163" s="74"/>
      <c r="F163" s="74"/>
    </row>
    <row r="164" spans="2:6">
      <c r="B164" s="73"/>
      <c r="D164" s="103"/>
      <c r="E164" s="74"/>
      <c r="F164" s="74"/>
    </row>
    <row r="165" spans="2:6">
      <c r="B165" s="73"/>
      <c r="D165" s="103"/>
      <c r="E165" s="74"/>
      <c r="F165" s="74"/>
    </row>
    <row r="166" spans="2:6">
      <c r="B166" s="73"/>
      <c r="D166" s="103"/>
      <c r="E166" s="74"/>
      <c r="F166" s="74"/>
    </row>
    <row r="167" spans="2:6">
      <c r="B167" s="73"/>
      <c r="D167" s="103"/>
      <c r="E167" s="74"/>
      <c r="F167" s="74"/>
    </row>
    <row r="168" spans="2:6">
      <c r="B168" s="73"/>
      <c r="D168" s="103"/>
      <c r="E168" s="74"/>
      <c r="F168" s="74"/>
    </row>
    <row r="169" spans="2:6">
      <c r="B169" s="73"/>
      <c r="D169" s="103"/>
      <c r="E169" s="74"/>
      <c r="F169" s="74"/>
    </row>
    <row r="170" spans="2:6">
      <c r="B170" s="73"/>
      <c r="D170" s="103"/>
      <c r="E170" s="74"/>
      <c r="F170" s="74"/>
    </row>
    <row r="171" spans="2:6">
      <c r="B171" s="73"/>
      <c r="D171" s="103"/>
      <c r="E171" s="74"/>
      <c r="F171" s="74"/>
    </row>
    <row r="172" spans="2:6">
      <c r="B172" s="73"/>
      <c r="D172" s="103"/>
      <c r="E172" s="74"/>
      <c r="F172" s="74"/>
    </row>
    <row r="173" spans="2:6">
      <c r="B173" s="73"/>
      <c r="D173" s="103"/>
      <c r="E173" s="74"/>
      <c r="F173" s="74"/>
    </row>
    <row r="174" spans="2:6">
      <c r="B174" s="73"/>
      <c r="D174" s="103"/>
      <c r="E174" s="74"/>
      <c r="F174" s="74"/>
    </row>
    <row r="175" spans="2:6">
      <c r="B175" s="73"/>
      <c r="D175" s="103"/>
      <c r="E175" s="74"/>
      <c r="F175" s="74"/>
    </row>
    <row r="176" spans="2:6">
      <c r="B176" s="73"/>
      <c r="D176" s="103"/>
      <c r="E176" s="74"/>
      <c r="F176" s="74"/>
    </row>
    <row r="177" spans="2:6">
      <c r="B177" s="73"/>
      <c r="D177" s="103"/>
      <c r="E177" s="74"/>
      <c r="F177" s="74"/>
    </row>
    <row r="178" spans="2:6">
      <c r="B178" s="73"/>
      <c r="D178" s="103"/>
      <c r="E178" s="74"/>
      <c r="F178" s="74"/>
    </row>
    <row r="179" spans="2:6">
      <c r="B179" s="73"/>
      <c r="D179" s="103"/>
      <c r="E179" s="74"/>
      <c r="F179" s="74"/>
    </row>
    <row r="180" spans="2:6">
      <c r="B180" s="73"/>
      <c r="D180" s="103"/>
      <c r="E180" s="74"/>
      <c r="F180" s="74"/>
    </row>
    <row r="181" spans="2:6">
      <c r="B181" s="73"/>
      <c r="D181" s="103"/>
      <c r="E181" s="74"/>
      <c r="F181" s="74"/>
    </row>
    <row r="182" spans="2:6">
      <c r="B182" s="73"/>
      <c r="D182" s="103"/>
      <c r="E182" s="74"/>
      <c r="F182" s="74"/>
    </row>
    <row r="183" spans="2:6">
      <c r="B183" s="73"/>
      <c r="D183" s="103"/>
      <c r="E183" s="74"/>
      <c r="F183" s="74"/>
    </row>
    <row r="184" spans="2:6">
      <c r="B184" s="73"/>
      <c r="D184" s="103"/>
      <c r="E184" s="74"/>
      <c r="F184" s="74"/>
    </row>
    <row r="185" spans="2:6">
      <c r="B185" s="73"/>
      <c r="D185" s="103"/>
      <c r="E185" s="74"/>
      <c r="F185" s="74"/>
    </row>
    <row r="186" spans="2:6">
      <c r="B186" s="73"/>
      <c r="D186" s="103"/>
      <c r="E186" s="74"/>
      <c r="F186" s="74"/>
    </row>
    <row r="187" spans="2:6">
      <c r="B187" s="73"/>
      <c r="D187" s="103"/>
      <c r="E187" s="74"/>
      <c r="F187" s="74"/>
    </row>
    <row r="188" spans="2:6">
      <c r="B188" s="73"/>
      <c r="D188" s="103"/>
      <c r="E188" s="74"/>
      <c r="F188" s="74"/>
    </row>
    <row r="189" spans="2:6">
      <c r="B189" s="73"/>
      <c r="D189" s="103"/>
      <c r="E189" s="74"/>
      <c r="F189" s="74"/>
    </row>
    <row r="190" spans="2:6">
      <c r="B190" s="73"/>
      <c r="D190" s="103"/>
      <c r="E190" s="74"/>
      <c r="F190" s="74"/>
    </row>
    <row r="191" spans="2:6">
      <c r="B191" s="73"/>
      <c r="D191" s="103"/>
      <c r="E191" s="74"/>
      <c r="F191" s="74"/>
    </row>
    <row r="192" spans="2:6">
      <c r="B192" s="73"/>
      <c r="D192" s="103"/>
      <c r="E192" s="74"/>
      <c r="F192" s="74"/>
    </row>
    <row r="193" spans="2:6">
      <c r="B193" s="73"/>
      <c r="D193" s="103"/>
      <c r="E193" s="74"/>
      <c r="F193" s="74"/>
    </row>
    <row r="194" spans="2:6">
      <c r="B194" s="73"/>
      <c r="D194" s="103"/>
      <c r="E194" s="74"/>
      <c r="F194" s="74"/>
    </row>
    <row r="195" spans="2:6">
      <c r="B195" s="73"/>
      <c r="D195" s="103"/>
      <c r="E195" s="74"/>
      <c r="F195" s="74"/>
    </row>
    <row r="196" spans="2:6">
      <c r="B196" s="73"/>
      <c r="D196" s="103"/>
      <c r="E196" s="74"/>
      <c r="F196" s="74"/>
    </row>
    <row r="197" spans="2:6">
      <c r="B197" s="73"/>
      <c r="D197" s="103"/>
      <c r="E197" s="74"/>
      <c r="F197" s="74"/>
    </row>
    <row r="198" spans="2:6">
      <c r="B198" s="73"/>
      <c r="D198" s="103"/>
      <c r="E198" s="74"/>
      <c r="F198" s="74"/>
    </row>
    <row r="199" spans="2:6">
      <c r="B199" s="73"/>
      <c r="D199" s="103"/>
      <c r="E199" s="74"/>
      <c r="F199" s="74"/>
    </row>
    <row r="200" spans="2:6">
      <c r="B200" s="73"/>
      <c r="D200" s="103"/>
      <c r="E200" s="74"/>
      <c r="F200" s="74"/>
    </row>
    <row r="201" spans="2:6">
      <c r="B201" s="73"/>
      <c r="D201" s="103"/>
      <c r="E201" s="74"/>
      <c r="F201" s="74"/>
    </row>
    <row r="202" spans="2:6">
      <c r="B202" s="73"/>
      <c r="D202" s="103"/>
      <c r="E202" s="74"/>
      <c r="F202" s="74"/>
    </row>
    <row r="203" spans="2:6">
      <c r="B203" s="73"/>
      <c r="D203" s="103"/>
      <c r="E203" s="74"/>
      <c r="F203" s="74"/>
    </row>
    <row r="204" spans="2:6">
      <c r="B204" s="73"/>
      <c r="D204" s="103"/>
      <c r="E204" s="74"/>
      <c r="F204" s="74"/>
    </row>
    <row r="205" spans="2:6">
      <c r="B205" s="73"/>
      <c r="D205" s="103"/>
      <c r="E205" s="74"/>
      <c r="F205" s="74"/>
    </row>
    <row r="206" spans="2:6">
      <c r="B206" s="73"/>
    </row>
    <row r="207" spans="2:6">
      <c r="B207" s="76"/>
    </row>
    <row r="208" spans="2:6">
      <c r="B208" s="76"/>
    </row>
    <row r="209" spans="2:2">
      <c r="B209" s="76"/>
    </row>
    <row r="210" spans="2:2">
      <c r="B210" s="76"/>
    </row>
    <row r="211" spans="2:2">
      <c r="B211" s="76"/>
    </row>
    <row r="212" spans="2:2">
      <c r="B212" s="76"/>
    </row>
    <row r="213" spans="2:2">
      <c r="B213" s="76"/>
    </row>
    <row r="214" spans="2:2">
      <c r="B214" s="76"/>
    </row>
    <row r="215" spans="2:2">
      <c r="B215" s="76"/>
    </row>
    <row r="216" spans="2:2">
      <c r="B216" s="76"/>
    </row>
    <row r="217" spans="2:2">
      <c r="B217" s="76"/>
    </row>
    <row r="218" spans="2:2">
      <c r="B218" s="76"/>
    </row>
    <row r="219" spans="2:2">
      <c r="B219" s="76"/>
    </row>
    <row r="220" spans="2:2">
      <c r="B220" s="76"/>
    </row>
    <row r="221" spans="2:2">
      <c r="B221" s="76"/>
    </row>
    <row r="222" spans="2:2">
      <c r="B222" s="76"/>
    </row>
    <row r="223" spans="2:2">
      <c r="B223" s="76"/>
    </row>
    <row r="224" spans="2:2">
      <c r="B224" s="76"/>
    </row>
    <row r="225" spans="2:2">
      <c r="B225" s="76"/>
    </row>
    <row r="226" spans="2:2">
      <c r="B226" s="76"/>
    </row>
    <row r="227" spans="2:2">
      <c r="B227" s="76"/>
    </row>
    <row r="228" spans="2:2">
      <c r="B228" s="76"/>
    </row>
    <row r="229" spans="2:2">
      <c r="B229" s="76"/>
    </row>
    <row r="230" spans="2:2">
      <c r="B230" s="76"/>
    </row>
    <row r="231" spans="2:2">
      <c r="B231" s="76"/>
    </row>
    <row r="232" spans="2:2">
      <c r="B232" s="76"/>
    </row>
    <row r="233" spans="2:2">
      <c r="B233" s="76"/>
    </row>
    <row r="234" spans="2:2">
      <c r="B234" s="76"/>
    </row>
    <row r="235" spans="2:2">
      <c r="B235" s="76"/>
    </row>
    <row r="236" spans="2:2">
      <c r="B236" s="76"/>
    </row>
    <row r="237" spans="2:2">
      <c r="B237" s="76"/>
    </row>
    <row r="238" spans="2:2">
      <c r="B238" s="76"/>
    </row>
    <row r="239" spans="2:2">
      <c r="B239" s="76"/>
    </row>
    <row r="240" spans="2:2">
      <c r="B240" s="76"/>
    </row>
    <row r="241" spans="2:2">
      <c r="B241" s="76"/>
    </row>
    <row r="242" spans="2:2">
      <c r="B242" s="76"/>
    </row>
    <row r="243" spans="2:2">
      <c r="B243" s="76"/>
    </row>
    <row r="244" spans="2:2">
      <c r="B244" s="76"/>
    </row>
    <row r="245" spans="2:2">
      <c r="B245" s="76"/>
    </row>
    <row r="246" spans="2:2">
      <c r="B246" s="76"/>
    </row>
    <row r="247" spans="2:2">
      <c r="B247" s="76"/>
    </row>
    <row r="248" spans="2:2">
      <c r="B248" s="76"/>
    </row>
    <row r="249" spans="2:2">
      <c r="B249" s="76"/>
    </row>
    <row r="250" spans="2:2">
      <c r="B250" s="76"/>
    </row>
    <row r="251" spans="2:2">
      <c r="B251" s="76"/>
    </row>
    <row r="252" spans="2:2">
      <c r="B252" s="76"/>
    </row>
    <row r="253" spans="2:2">
      <c r="B253" s="76"/>
    </row>
    <row r="254" spans="2:2">
      <c r="B254" s="76"/>
    </row>
    <row r="255" spans="2:2">
      <c r="B255" s="76"/>
    </row>
    <row r="256" spans="2:2">
      <c r="B256" s="76"/>
    </row>
    <row r="257" spans="2:2">
      <c r="B257" s="76"/>
    </row>
    <row r="258" spans="2:2">
      <c r="B258" s="76"/>
    </row>
    <row r="259" spans="2:2">
      <c r="B259" s="76"/>
    </row>
    <row r="260" spans="2:2">
      <c r="B260" s="76"/>
    </row>
    <row r="261" spans="2:2">
      <c r="B261" s="76"/>
    </row>
    <row r="262" spans="2:2">
      <c r="B262" s="76"/>
    </row>
    <row r="263" spans="2:2">
      <c r="B263" s="76"/>
    </row>
    <row r="264" spans="2:2">
      <c r="B264" s="76"/>
    </row>
    <row r="265" spans="2:2">
      <c r="B265" s="76"/>
    </row>
    <row r="266" spans="2:2">
      <c r="B266" s="76"/>
    </row>
    <row r="267" spans="2:2">
      <c r="B267" s="76"/>
    </row>
    <row r="268" spans="2:2">
      <c r="B268" s="76"/>
    </row>
    <row r="269" spans="2:2">
      <c r="B269" s="76"/>
    </row>
    <row r="270" spans="2:2">
      <c r="B270" s="76"/>
    </row>
    <row r="271" spans="2:2">
      <c r="B271" s="76"/>
    </row>
    <row r="272" spans="2:2">
      <c r="B272" s="76"/>
    </row>
    <row r="273" spans="2:2">
      <c r="B273" s="76"/>
    </row>
    <row r="274" spans="2:2">
      <c r="B274" s="76"/>
    </row>
    <row r="275" spans="2:2">
      <c r="B275" s="76"/>
    </row>
    <row r="276" spans="2:2">
      <c r="B276" s="76"/>
    </row>
    <row r="277" spans="2:2">
      <c r="B277" s="76"/>
    </row>
    <row r="278" spans="2:2">
      <c r="B278" s="76"/>
    </row>
    <row r="279" spans="2:2">
      <c r="B279" s="76"/>
    </row>
    <row r="280" spans="2:2">
      <c r="B280" s="76"/>
    </row>
    <row r="281" spans="2:2">
      <c r="B281" s="76"/>
    </row>
    <row r="282" spans="2:2">
      <c r="B282" s="76"/>
    </row>
    <row r="283" spans="2:2">
      <c r="B283" s="76"/>
    </row>
    <row r="284" spans="2:2">
      <c r="B284" s="76"/>
    </row>
    <row r="285" spans="2:2">
      <c r="B285" s="76"/>
    </row>
    <row r="286" spans="2:2">
      <c r="B286" s="76"/>
    </row>
    <row r="287" spans="2:2">
      <c r="B287" s="76"/>
    </row>
    <row r="288" spans="2:2">
      <c r="B288" s="76"/>
    </row>
    <row r="289" spans="2:2">
      <c r="B289" s="76"/>
    </row>
    <row r="290" spans="2:2">
      <c r="B290" s="76"/>
    </row>
    <row r="291" spans="2:2">
      <c r="B291" s="76"/>
    </row>
    <row r="292" spans="2:2">
      <c r="B292" s="76"/>
    </row>
    <row r="293" spans="2:2">
      <c r="B293" s="76"/>
    </row>
    <row r="294" spans="2:2">
      <c r="B294" s="76"/>
    </row>
    <row r="295" spans="2:2">
      <c r="B295" s="76"/>
    </row>
    <row r="296" spans="2:2">
      <c r="B296" s="76"/>
    </row>
    <row r="297" spans="2:2">
      <c r="B297" s="76"/>
    </row>
    <row r="298" spans="2:2">
      <c r="B298" s="76"/>
    </row>
    <row r="299" spans="2:2">
      <c r="B299" s="76"/>
    </row>
    <row r="300" spans="2:2">
      <c r="B300" s="76"/>
    </row>
    <row r="301" spans="2:2">
      <c r="B301" s="76"/>
    </row>
    <row r="302" spans="2:2">
      <c r="B302" s="76"/>
    </row>
    <row r="303" spans="2:2">
      <c r="B303" s="76"/>
    </row>
    <row r="304" spans="2:2">
      <c r="B304" s="76"/>
    </row>
    <row r="305" spans="2:2">
      <c r="B305" s="76"/>
    </row>
    <row r="306" spans="2:2">
      <c r="B306" s="76"/>
    </row>
    <row r="307" spans="2:2">
      <c r="B307" s="76"/>
    </row>
    <row r="308" spans="2:2">
      <c r="B308" s="76"/>
    </row>
    <row r="309" spans="2:2">
      <c r="B309" s="76"/>
    </row>
    <row r="310" spans="2:2">
      <c r="B310" s="76"/>
    </row>
    <row r="311" spans="2:2">
      <c r="B311" s="76"/>
    </row>
    <row r="312" spans="2:2">
      <c r="B312" s="76"/>
    </row>
    <row r="313" spans="2:2">
      <c r="B313" s="76"/>
    </row>
    <row r="314" spans="2:2">
      <c r="B314" s="76"/>
    </row>
    <row r="315" spans="2:2">
      <c r="B315" s="76"/>
    </row>
    <row r="316" spans="2:2">
      <c r="B316" s="76"/>
    </row>
    <row r="317" spans="2:2">
      <c r="B317" s="76"/>
    </row>
    <row r="318" spans="2:2">
      <c r="B318" s="76"/>
    </row>
    <row r="319" spans="2:2">
      <c r="B319" s="76"/>
    </row>
    <row r="320" spans="2:2">
      <c r="B320" s="76"/>
    </row>
    <row r="321" spans="2:2">
      <c r="B321" s="76"/>
    </row>
    <row r="322" spans="2:2">
      <c r="B322" s="76"/>
    </row>
    <row r="323" spans="2:2">
      <c r="B323" s="76"/>
    </row>
    <row r="324" spans="2:2">
      <c r="B324" s="76"/>
    </row>
    <row r="325" spans="2:2">
      <c r="B325" s="76"/>
    </row>
    <row r="326" spans="2:2">
      <c r="B326" s="76"/>
    </row>
    <row r="327" spans="2:2">
      <c r="B327" s="76"/>
    </row>
    <row r="328" spans="2:2">
      <c r="B328" s="76"/>
    </row>
    <row r="329" spans="2:2">
      <c r="B329" s="76"/>
    </row>
    <row r="330" spans="2:2">
      <c r="B330" s="76"/>
    </row>
    <row r="331" spans="2:2">
      <c r="B331" s="76"/>
    </row>
    <row r="332" spans="2:2">
      <c r="B332" s="76"/>
    </row>
    <row r="333" spans="2:2">
      <c r="B333" s="76"/>
    </row>
    <row r="334" spans="2:2">
      <c r="B334" s="76"/>
    </row>
    <row r="335" spans="2:2">
      <c r="B335" s="76"/>
    </row>
    <row r="336" spans="2:2">
      <c r="B336" s="76"/>
    </row>
    <row r="337" spans="2:2">
      <c r="B337" s="76"/>
    </row>
    <row r="338" spans="2:2">
      <c r="B338" s="76"/>
    </row>
    <row r="339" spans="2:2">
      <c r="B339" s="76"/>
    </row>
    <row r="340" spans="2:2">
      <c r="B340" s="76"/>
    </row>
    <row r="341" spans="2:2">
      <c r="B341" s="76"/>
    </row>
    <row r="342" spans="2:2">
      <c r="B342" s="76"/>
    </row>
    <row r="343" spans="2:2">
      <c r="B343" s="76"/>
    </row>
    <row r="344" spans="2:2">
      <c r="B344" s="76"/>
    </row>
    <row r="345" spans="2:2">
      <c r="B345" s="76"/>
    </row>
    <row r="346" spans="2:2">
      <c r="B346" s="76"/>
    </row>
    <row r="347" spans="2:2">
      <c r="B347" s="76"/>
    </row>
    <row r="348" spans="2:2">
      <c r="B348" s="76"/>
    </row>
    <row r="349" spans="2:2">
      <c r="B349" s="76"/>
    </row>
    <row r="350" spans="2:2">
      <c r="B350" s="76"/>
    </row>
    <row r="351" spans="2:2">
      <c r="B351" s="76"/>
    </row>
    <row r="352" spans="2:2">
      <c r="B352" s="76"/>
    </row>
    <row r="353" spans="2:2">
      <c r="B353" s="76"/>
    </row>
    <row r="354" spans="2:2">
      <c r="B354" s="76"/>
    </row>
    <row r="355" spans="2:2">
      <c r="B355" s="76"/>
    </row>
    <row r="356" spans="2:2">
      <c r="B356" s="76"/>
    </row>
    <row r="357" spans="2:2">
      <c r="B357" s="76"/>
    </row>
    <row r="358" spans="2:2">
      <c r="B358" s="76"/>
    </row>
    <row r="359" spans="2:2">
      <c r="B359" s="76"/>
    </row>
    <row r="360" spans="2:2">
      <c r="B360" s="76"/>
    </row>
    <row r="361" spans="2:2">
      <c r="B361" s="76"/>
    </row>
    <row r="362" spans="2:2">
      <c r="B362" s="76"/>
    </row>
    <row r="363" spans="2:2">
      <c r="B363" s="76"/>
    </row>
    <row r="364" spans="2:2">
      <c r="B364" s="76"/>
    </row>
    <row r="365" spans="2:2">
      <c r="B365" s="76"/>
    </row>
    <row r="366" spans="2:2">
      <c r="B366" s="76"/>
    </row>
    <row r="367" spans="2:2">
      <c r="B367" s="76"/>
    </row>
    <row r="368" spans="2:2">
      <c r="B368" s="76"/>
    </row>
    <row r="369" spans="2:2">
      <c r="B369" s="76"/>
    </row>
    <row r="370" spans="2:2">
      <c r="B370" s="76"/>
    </row>
    <row r="371" spans="2:2">
      <c r="B371" s="76"/>
    </row>
    <row r="372" spans="2:2">
      <c r="B372" s="76"/>
    </row>
    <row r="373" spans="2:2">
      <c r="B373" s="76"/>
    </row>
  </sheetData>
  <mergeCells count="20">
    <mergeCell ref="B2:F2"/>
    <mergeCell ref="D150:E150"/>
    <mergeCell ref="D151:E151"/>
    <mergeCell ref="A29:B29"/>
    <mergeCell ref="A30:B30"/>
    <mergeCell ref="A31:B31"/>
    <mergeCell ref="A53:B53"/>
    <mergeCell ref="A97:B97"/>
    <mergeCell ref="A98:B98"/>
    <mergeCell ref="A103:B103"/>
    <mergeCell ref="A6:B6"/>
    <mergeCell ref="A7:B7"/>
    <mergeCell ref="A12:B12"/>
    <mergeCell ref="A25:B25"/>
    <mergeCell ref="A23:B23"/>
    <mergeCell ref="G150:H150"/>
    <mergeCell ref="G151:H151"/>
    <mergeCell ref="A130:B130"/>
    <mergeCell ref="A127:B127"/>
    <mergeCell ref="A128:B128"/>
  </mergeCells>
  <pageMargins left="0.59055118110236227" right="0.59055118110236227" top="0.59055118110236227" bottom="0.39370078740157483" header="0.31496062992125984" footer="0.31496062992125984"/>
  <pageSetup paperSize="9" scale="60" orientation="landscape" r:id="rId1"/>
  <rowBreaks count="1" manualBreakCount="1">
    <brk id="112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2:R609"/>
  <sheetViews>
    <sheetView view="pageBreakPreview" topLeftCell="A304" zoomScale="70" zoomScaleNormal="70" zoomScaleSheetLayoutView="70" workbookViewId="0">
      <selection activeCell="C348" sqref="C348"/>
    </sheetView>
  </sheetViews>
  <sheetFormatPr defaultColWidth="9.140625" defaultRowHeight="26.25" customHeight="1"/>
  <cols>
    <col min="1" max="1" width="9.140625" style="18"/>
    <col min="2" max="2" width="106.140625" style="18" customWidth="1"/>
    <col min="3" max="3" width="14.140625" style="339" customWidth="1"/>
    <col min="4" max="4" width="16.140625" style="339" customWidth="1"/>
    <col min="5" max="5" width="16.7109375" style="339" customWidth="1"/>
    <col min="6" max="6" width="16.140625" style="339" customWidth="1"/>
    <col min="7" max="7" width="16.140625" style="18" customWidth="1"/>
    <col min="8" max="8" width="16.42578125" style="18" customWidth="1"/>
    <col min="9" max="9" width="11.7109375" style="18" customWidth="1"/>
    <col min="10" max="10" width="9.140625" style="18"/>
    <col min="11" max="11" width="15.5703125" style="18" customWidth="1"/>
    <col min="12" max="12" width="16.7109375" style="18" customWidth="1"/>
    <col min="13" max="13" width="17.42578125" style="18" customWidth="1"/>
    <col min="14" max="14" width="18.7109375" style="18" customWidth="1"/>
    <col min="15" max="15" width="9.140625" style="18"/>
    <col min="16" max="16" width="16.85546875" style="18" bestFit="1" customWidth="1"/>
    <col min="17" max="17" width="17" style="18" customWidth="1"/>
    <col min="18" max="18" width="17.42578125" style="18" customWidth="1"/>
    <col min="19" max="16384" width="9.140625" style="18"/>
  </cols>
  <sheetData>
    <row r="2" spans="1:18" ht="26.25" customHeight="1">
      <c r="B2" s="403" t="s">
        <v>118</v>
      </c>
      <c r="C2" s="403"/>
      <c r="D2" s="403"/>
      <c r="E2" s="403"/>
      <c r="F2" s="403"/>
      <c r="G2" s="403"/>
      <c r="H2" s="403"/>
    </row>
    <row r="3" spans="1:18" ht="26.25" customHeight="1">
      <c r="B3" s="61"/>
      <c r="C3" s="338"/>
      <c r="D3" s="61"/>
      <c r="E3" s="61"/>
      <c r="F3" s="61"/>
      <c r="H3" s="18" t="s">
        <v>64</v>
      </c>
    </row>
    <row r="4" spans="1:18" ht="68.25" customHeight="1">
      <c r="A4" s="62" t="s">
        <v>74</v>
      </c>
      <c r="B4" s="62" t="s">
        <v>24</v>
      </c>
      <c r="C4" s="63" t="s">
        <v>5</v>
      </c>
      <c r="D4" s="47" t="s">
        <v>434</v>
      </c>
      <c r="E4" s="63" t="s">
        <v>435</v>
      </c>
      <c r="F4" s="63" t="s">
        <v>575</v>
      </c>
      <c r="G4" s="47" t="s">
        <v>108</v>
      </c>
      <c r="H4" s="47" t="s">
        <v>111</v>
      </c>
    </row>
    <row r="5" spans="1:18" ht="26.25" customHeight="1">
      <c r="A5" s="46">
        <v>1</v>
      </c>
      <c r="B5" s="46">
        <v>2</v>
      </c>
      <c r="C5" s="47">
        <v>3</v>
      </c>
      <c r="D5" s="47">
        <v>4</v>
      </c>
      <c r="E5" s="47">
        <v>5</v>
      </c>
      <c r="F5" s="47">
        <v>6</v>
      </c>
      <c r="G5" s="46">
        <v>7</v>
      </c>
      <c r="H5" s="46">
        <v>8</v>
      </c>
    </row>
    <row r="6" spans="1:18" ht="26.25" customHeight="1">
      <c r="A6" s="406" t="s">
        <v>82</v>
      </c>
      <c r="B6" s="407"/>
      <c r="C6" s="47"/>
      <c r="D6" s="153">
        <f>SUM(D7,D41,D112,D140,D164,D193,D198,D203,D238,D245,D253,D258,D266,D273,D306,D347,D355,D363,D368,D372,D377)</f>
        <v>72937.799999999988</v>
      </c>
      <c r="E6" s="153">
        <f>SUM(E7,E41,E112,E140,E164,E193,E198,E203,E238,E245,E253,E258,E266,E273,E306,E347,E355,E363,E368,E372,E377)</f>
        <v>77582.700000000012</v>
      </c>
      <c r="F6" s="153">
        <f>SUM(F7,F41,F112,F140,F164,F193,F198,F203,F238,F245,F253,F258,F266,F273,F306,F347,F355,F363,F368,F372,F377)</f>
        <v>91338.299999999974</v>
      </c>
      <c r="G6" s="66">
        <f>F6-E6</f>
        <v>13755.599999999962</v>
      </c>
      <c r="H6" s="66">
        <f>F6/E6*100</f>
        <v>117.73024140691155</v>
      </c>
    </row>
    <row r="7" spans="1:18" ht="26.25" customHeight="1">
      <c r="A7" s="64" t="s">
        <v>83</v>
      </c>
      <c r="B7" s="65" t="s">
        <v>119</v>
      </c>
      <c r="C7" s="64"/>
      <c r="D7" s="15">
        <f>D9+D29+D36</f>
        <v>42676.6</v>
      </c>
      <c r="E7" s="15">
        <f>E9+E29+E36</f>
        <v>62735.7</v>
      </c>
      <c r="F7" s="15">
        <f>F9+F29+F36</f>
        <v>69091.199999999997</v>
      </c>
      <c r="G7" s="66">
        <f>F7-E7</f>
        <v>6355.5</v>
      </c>
      <c r="H7" s="66">
        <f>(F7/E7)*100</f>
        <v>110.13059549825697</v>
      </c>
      <c r="L7" s="130">
        <f>L8+L15+L22</f>
        <v>72937.799999999988</v>
      </c>
      <c r="M7" s="130">
        <f t="shared" ref="M7:N7" si="0">M8+M15+M22</f>
        <v>77582.699999999983</v>
      </c>
      <c r="N7" s="130">
        <f t="shared" si="0"/>
        <v>91338.299999999988</v>
      </c>
    </row>
    <row r="8" spans="1:18" ht="26.25" customHeight="1">
      <c r="A8" s="46"/>
      <c r="B8" s="57" t="s">
        <v>84</v>
      </c>
      <c r="C8" s="47"/>
      <c r="D8" s="16"/>
      <c r="E8" s="16"/>
      <c r="F8" s="16"/>
      <c r="G8" s="66"/>
      <c r="H8" s="66"/>
      <c r="K8" s="129">
        <v>1010</v>
      </c>
      <c r="L8" s="261">
        <f>SUM(D9,D43,D114,D142,D166,D195,D200,D205,D240,D247,D255,D275,D308,D349,D357,D379,D374)</f>
        <v>66955.399999999994</v>
      </c>
      <c r="M8" s="262">
        <f>SUM(E9,E43,E114,E142,E166,E195,E200,E205,E240,E247,E255,E275,E308,E349,E357,E379,E374)</f>
        <v>72955.499999999985</v>
      </c>
      <c r="N8" s="261">
        <f>SUM(F9,F43,F114,F142,F166,F195,F200,F205,F240,F247,F255,F275,F308,F349,F357,F379,F374)</f>
        <v>82013.899999999994</v>
      </c>
    </row>
    <row r="9" spans="1:18" ht="26.25" customHeight="1">
      <c r="A9" s="72" t="s">
        <v>85</v>
      </c>
      <c r="B9" s="135" t="s">
        <v>88</v>
      </c>
      <c r="C9" s="69">
        <v>1010</v>
      </c>
      <c r="D9" s="107">
        <f>D10+D19+D16+D17+D18</f>
        <v>38337.199999999997</v>
      </c>
      <c r="E9" s="107">
        <f>E10+E19+E16+E17+E18</f>
        <v>58589.2</v>
      </c>
      <c r="F9" s="107">
        <f>F10+F19+F16+F17+F18</f>
        <v>60757.2</v>
      </c>
      <c r="G9" s="136">
        <f>F9-E9</f>
        <v>2168</v>
      </c>
      <c r="H9" s="136">
        <f>(F9/E9)*100</f>
        <v>103.70034067712137</v>
      </c>
      <c r="K9" s="129">
        <v>1011</v>
      </c>
      <c r="L9" s="20">
        <f>SUM(D10,D44,D115,D143,D167,D196,D206,D241,D276,D309,D375,)</f>
        <v>11277.2</v>
      </c>
      <c r="M9" s="20">
        <f>SUM(E10,E44,E115,E143,E167,E196,E206,E241,E276,E309,E375,)</f>
        <v>11337.2</v>
      </c>
      <c r="N9" s="20">
        <f>SUM(F10,F44,F115,F143,F167,F196,F206,F241,F276,F309,F375,)</f>
        <v>16330.2</v>
      </c>
      <c r="P9" s="412"/>
      <c r="Q9" s="412"/>
      <c r="R9" s="412"/>
    </row>
    <row r="10" spans="1:18" ht="26.25" customHeight="1">
      <c r="A10" s="54" t="s">
        <v>204</v>
      </c>
      <c r="B10" s="137" t="s">
        <v>105</v>
      </c>
      <c r="C10" s="44">
        <v>1011</v>
      </c>
      <c r="D10" s="19">
        <f>SUM(D11:D15)</f>
        <v>2945.7999999999997</v>
      </c>
      <c r="E10" s="19">
        <f>SUM(E11:E15)</f>
        <v>4007.5999999999995</v>
      </c>
      <c r="F10" s="19">
        <f>SUM(F11:F15)</f>
        <v>6006.7</v>
      </c>
      <c r="G10" s="133">
        <f t="shared" ref="G10:G27" si="1">F10-E10</f>
        <v>1999.1000000000004</v>
      </c>
      <c r="H10" s="133">
        <f t="shared" ref="H10:H27" si="2">(F10/E10)*100</f>
        <v>149.88272282662942</v>
      </c>
      <c r="I10" s="18" t="s">
        <v>578</v>
      </c>
      <c r="K10" s="129">
        <v>1012</v>
      </c>
      <c r="L10" s="20">
        <f>SUM(D16,D56,D121,D175,D201,D215,)</f>
        <v>40186.300000000003</v>
      </c>
      <c r="M10" s="20">
        <f>SUM(E16,E56,E121,E175,E201,E215,)</f>
        <v>46452.4</v>
      </c>
      <c r="N10" s="20">
        <f>SUM(F16,F56,F121,F175,F201,F215,)</f>
        <v>46545.700000000004</v>
      </c>
      <c r="P10" s="412"/>
      <c r="Q10" s="412"/>
      <c r="R10" s="412"/>
    </row>
    <row r="11" spans="1:18" ht="26.25" customHeight="1">
      <c r="A11" s="54"/>
      <c r="B11" s="39" t="s">
        <v>134</v>
      </c>
      <c r="C11" s="40"/>
      <c r="D11" s="16">
        <v>2834</v>
      </c>
      <c r="E11" s="16">
        <v>3760.7</v>
      </c>
      <c r="F11" s="16">
        <f>3723.2+1851.5</f>
        <v>5574.7</v>
      </c>
      <c r="G11" s="68">
        <f t="shared" si="1"/>
        <v>1814</v>
      </c>
      <c r="H11" s="68">
        <f t="shared" si="2"/>
        <v>148.23570080038292</v>
      </c>
      <c r="K11" s="129">
        <v>1013</v>
      </c>
      <c r="L11" s="20">
        <f>SUM(D17,D57,D122,D176,D216,D202)</f>
        <v>8666.7999999999993</v>
      </c>
      <c r="M11" s="20">
        <f>SUM(E17,E57,E122,E176,E216,E202)</f>
        <v>10043.700000000001</v>
      </c>
      <c r="N11" s="20">
        <f>SUM(F17,F57,F122,F176,F216,F202)</f>
        <v>9812.1</v>
      </c>
    </row>
    <row r="12" spans="1:18" ht="26.25" customHeight="1">
      <c r="A12" s="54"/>
      <c r="B12" s="41" t="s">
        <v>135</v>
      </c>
      <c r="C12" s="40"/>
      <c r="D12" s="16">
        <v>92.6</v>
      </c>
      <c r="E12" s="16">
        <v>130.5</v>
      </c>
      <c r="F12" s="16">
        <f>267.9+126.8</f>
        <v>394.7</v>
      </c>
      <c r="G12" s="68">
        <f t="shared" si="1"/>
        <v>264.2</v>
      </c>
      <c r="H12" s="68">
        <f t="shared" si="2"/>
        <v>302.45210727969345</v>
      </c>
      <c r="K12" s="129">
        <v>1014</v>
      </c>
      <c r="L12" s="20">
        <f>SUM(D18,D58,D317,D380)</f>
        <v>1636.3</v>
      </c>
      <c r="M12" s="20">
        <f>SUM(E18,E58,E317,E380)</f>
        <v>0</v>
      </c>
      <c r="N12" s="20">
        <f>SUM(F18,F58,F317,F380)</f>
        <v>1829.3999999999999</v>
      </c>
      <c r="O12" s="75"/>
      <c r="P12" s="81"/>
      <c r="Q12" s="81"/>
      <c r="R12" s="81"/>
    </row>
    <row r="13" spans="1:18" ht="26.25" customHeight="1">
      <c r="A13" s="54"/>
      <c r="B13" s="41" t="s">
        <v>142</v>
      </c>
      <c r="C13" s="40"/>
      <c r="D13" s="16">
        <v>0.7</v>
      </c>
      <c r="E13" s="16"/>
      <c r="F13" s="16"/>
      <c r="G13" s="68"/>
      <c r="H13" s="68"/>
      <c r="K13" s="129">
        <v>1015</v>
      </c>
      <c r="L13" s="20">
        <f>SUM(D19,D59,D123,D148,D177,D218,D248,D256,D286,D318,D350,D358,)</f>
        <v>5188.8</v>
      </c>
      <c r="M13" s="20">
        <f>SUM(E19,E59,E123,E148,E177,E218,E248,E256,E286,E318,E350,E358,)</f>
        <v>5122.2</v>
      </c>
      <c r="N13" s="20">
        <f>SUM(F19,F59,F123,F148,F177,F218,F248,F256,F286,F318,F350,F358,)</f>
        <v>7496.5</v>
      </c>
      <c r="O13" s="75"/>
      <c r="P13" s="81"/>
      <c r="Q13" s="81"/>
      <c r="R13" s="81"/>
    </row>
    <row r="14" spans="1:18" ht="26.25" customHeight="1">
      <c r="A14" s="54"/>
      <c r="B14" s="41" t="s">
        <v>328</v>
      </c>
      <c r="C14" s="40"/>
      <c r="D14" s="16">
        <v>18.5</v>
      </c>
      <c r="E14" s="16">
        <v>12.7</v>
      </c>
      <c r="F14" s="16">
        <v>37.299999999999997</v>
      </c>
      <c r="G14" s="68">
        <f t="shared" si="1"/>
        <v>24.599999999999998</v>
      </c>
      <c r="H14" s="68">
        <f t="shared" si="2"/>
        <v>293.70078740157481</v>
      </c>
      <c r="K14" s="129"/>
      <c r="L14" s="20"/>
      <c r="M14" s="20"/>
      <c r="N14" s="20"/>
      <c r="O14" s="20"/>
      <c r="P14" s="81"/>
      <c r="Q14" s="81"/>
      <c r="R14" s="81"/>
    </row>
    <row r="15" spans="1:18" ht="26.25" customHeight="1">
      <c r="A15" s="54"/>
      <c r="B15" s="41" t="s">
        <v>336</v>
      </c>
      <c r="C15" s="40"/>
      <c r="D15" s="16"/>
      <c r="E15" s="16">
        <v>103.7</v>
      </c>
      <c r="F15" s="16"/>
      <c r="G15" s="68">
        <f t="shared" si="1"/>
        <v>-103.7</v>
      </c>
      <c r="H15" s="68">
        <f t="shared" si="2"/>
        <v>0</v>
      </c>
      <c r="K15" s="129">
        <v>1020</v>
      </c>
      <c r="L15" s="130">
        <f>SUM(D29,D87,D150,D181,D229,D298,D335,D352,D360,D382,D250)</f>
        <v>5510.2000000000007</v>
      </c>
      <c r="M15" s="130">
        <f>SUM(E29,E87,E150,E181,E229,E298,E335,E352,E360,E382)</f>
        <v>4245.3</v>
      </c>
      <c r="N15" s="130">
        <f>SUM(F29,F87,F150,F181,F229,F298,F335,F352,F360,F382)</f>
        <v>8669.9</v>
      </c>
      <c r="O15" s="75"/>
      <c r="P15" s="81"/>
      <c r="Q15" s="81"/>
      <c r="R15" s="81"/>
    </row>
    <row r="16" spans="1:18" ht="26.25" customHeight="1">
      <c r="A16" s="54" t="s">
        <v>205</v>
      </c>
      <c r="B16" s="55" t="s">
        <v>2</v>
      </c>
      <c r="C16" s="94">
        <v>1012</v>
      </c>
      <c r="D16" s="19">
        <v>28745</v>
      </c>
      <c r="E16" s="19">
        <v>44404.4</v>
      </c>
      <c r="F16" s="19">
        <f>46957.8-276.8-2498</f>
        <v>44183</v>
      </c>
      <c r="G16" s="133">
        <f t="shared" si="1"/>
        <v>-221.40000000000146</v>
      </c>
      <c r="H16" s="133">
        <f t="shared" si="2"/>
        <v>99.501400762086632</v>
      </c>
      <c r="K16" s="129">
        <v>1021</v>
      </c>
      <c r="L16" s="20">
        <f>SUM(D88,D336,)</f>
        <v>0</v>
      </c>
      <c r="M16" s="20">
        <f>SUM(E88,E336,)</f>
        <v>35.5</v>
      </c>
      <c r="N16" s="20">
        <f>SUM(F88,F336,)</f>
        <v>83.5</v>
      </c>
      <c r="P16" s="82"/>
      <c r="Q16" s="82"/>
      <c r="R16" s="82"/>
    </row>
    <row r="17" spans="1:18" ht="26.25" customHeight="1">
      <c r="A17" s="54" t="s">
        <v>206</v>
      </c>
      <c r="B17" s="55" t="s">
        <v>3</v>
      </c>
      <c r="C17" s="94">
        <v>1013</v>
      </c>
      <c r="D17" s="19">
        <v>6239.1</v>
      </c>
      <c r="E17" s="19">
        <v>9618.7000000000007</v>
      </c>
      <c r="F17" s="19">
        <f>9928.4-57.9-549.6</f>
        <v>9320.9</v>
      </c>
      <c r="G17" s="133">
        <f t="shared" si="1"/>
        <v>-297.80000000000109</v>
      </c>
      <c r="H17" s="133">
        <f t="shared" si="2"/>
        <v>96.903947518895478</v>
      </c>
      <c r="K17" s="129">
        <v>1022</v>
      </c>
      <c r="L17" s="20">
        <f>SUM(D30,D182,)</f>
        <v>4231.5999999999995</v>
      </c>
      <c r="M17" s="20">
        <f t="shared" ref="M17:N17" si="3">SUM(E30,E182,)</f>
        <v>3292.4</v>
      </c>
      <c r="N17" s="20">
        <f t="shared" si="3"/>
        <v>6402.2999999999993</v>
      </c>
      <c r="P17" s="82"/>
      <c r="Q17" s="82"/>
      <c r="R17" s="82"/>
    </row>
    <row r="18" spans="1:18" ht="26.25" customHeight="1">
      <c r="A18" s="54" t="s">
        <v>207</v>
      </c>
      <c r="B18" s="55" t="s">
        <v>4</v>
      </c>
      <c r="C18" s="94">
        <v>1014</v>
      </c>
      <c r="D18" s="19">
        <v>4.2</v>
      </c>
      <c r="E18" s="19"/>
      <c r="F18" s="19">
        <v>15.2</v>
      </c>
      <c r="G18" s="133">
        <f t="shared" si="1"/>
        <v>15.2</v>
      </c>
      <c r="H18" s="133"/>
      <c r="K18" s="129">
        <v>1023</v>
      </c>
      <c r="L18" s="20">
        <f>SUM(D31,D183,)</f>
        <v>920.2</v>
      </c>
      <c r="M18" s="20">
        <f t="shared" ref="M18:N18" si="4">SUM(E31,E183,)</f>
        <v>725.9</v>
      </c>
      <c r="N18" s="20">
        <f t="shared" si="4"/>
        <v>1417.8000000000002</v>
      </c>
      <c r="P18" s="82"/>
      <c r="Q18" s="82"/>
      <c r="R18" s="82"/>
    </row>
    <row r="19" spans="1:18" ht="26.25" customHeight="1">
      <c r="A19" s="54" t="s">
        <v>363</v>
      </c>
      <c r="B19" s="55" t="s">
        <v>94</v>
      </c>
      <c r="C19" s="94">
        <v>1015</v>
      </c>
      <c r="D19" s="19">
        <f>SUM(D20:D28)</f>
        <v>403.09999999999997</v>
      </c>
      <c r="E19" s="19">
        <f>SUM(E20:E28)</f>
        <v>558.5</v>
      </c>
      <c r="F19" s="19">
        <f>SUM(F20:F28)</f>
        <v>1231.4000000000003</v>
      </c>
      <c r="G19" s="133">
        <f t="shared" si="1"/>
        <v>672.90000000000032</v>
      </c>
      <c r="H19" s="133">
        <f t="shared" si="2"/>
        <v>220.48343777976731</v>
      </c>
      <c r="K19" s="129">
        <v>1024</v>
      </c>
      <c r="L19" s="20">
        <f>SUM(D383)</f>
        <v>101.6</v>
      </c>
      <c r="M19" s="20">
        <f t="shared" ref="M19:N19" si="5">SUM(E383)</f>
        <v>0</v>
      </c>
      <c r="N19" s="20">
        <f t="shared" si="5"/>
        <v>245.1</v>
      </c>
      <c r="P19" s="82"/>
      <c r="Q19" s="82"/>
      <c r="R19" s="82"/>
    </row>
    <row r="20" spans="1:18" ht="26.25" customHeight="1">
      <c r="A20" s="54"/>
      <c r="B20" s="41" t="s">
        <v>344</v>
      </c>
      <c r="C20" s="40"/>
      <c r="D20" s="16"/>
      <c r="E20" s="16">
        <v>28.9</v>
      </c>
      <c r="F20" s="86">
        <f>16.6</f>
        <v>16.600000000000001</v>
      </c>
      <c r="G20" s="68">
        <f t="shared" si="1"/>
        <v>-12.299999999999997</v>
      </c>
      <c r="H20" s="68">
        <f t="shared" si="2"/>
        <v>57.439446366782008</v>
      </c>
      <c r="K20" s="129">
        <v>1025</v>
      </c>
      <c r="L20" s="20">
        <f>SUM(D32,D92,D151,D184,D230,D299,D339,D353,D361,D251)</f>
        <v>256.8</v>
      </c>
      <c r="M20" s="20">
        <f>SUM(E32,E92,E151,E184,E230,E299,E339,E353,E361,)</f>
        <v>191.5</v>
      </c>
      <c r="N20" s="20">
        <f>SUM(F32,F92,F151,F184,F230,F299,F339,F353,F361,)</f>
        <v>521.20000000000005</v>
      </c>
      <c r="P20" s="82"/>
      <c r="Q20" s="82"/>
      <c r="R20" s="82"/>
    </row>
    <row r="21" spans="1:18" ht="26.25" customHeight="1">
      <c r="A21" s="54"/>
      <c r="B21" s="41" t="s">
        <v>197</v>
      </c>
      <c r="C21" s="40"/>
      <c r="D21" s="16">
        <v>89</v>
      </c>
      <c r="E21" s="16">
        <v>89.4</v>
      </c>
      <c r="F21" s="16">
        <f>164.1+62.4</f>
        <v>226.5</v>
      </c>
      <c r="G21" s="68">
        <f t="shared" si="1"/>
        <v>137.1</v>
      </c>
      <c r="H21" s="68">
        <f t="shared" si="2"/>
        <v>253.35570469798654</v>
      </c>
      <c r="K21" s="129"/>
      <c r="L21" s="20"/>
      <c r="M21" s="20"/>
      <c r="N21" s="20"/>
      <c r="O21" s="20"/>
      <c r="P21" s="82"/>
      <c r="Q21" s="82"/>
      <c r="R21" s="82"/>
    </row>
    <row r="22" spans="1:18" ht="26.25" customHeight="1">
      <c r="A22" s="54"/>
      <c r="B22" s="41" t="s">
        <v>198</v>
      </c>
      <c r="C22" s="40"/>
      <c r="D22" s="16"/>
      <c r="E22" s="16">
        <v>23.7</v>
      </c>
      <c r="F22" s="16">
        <f>31.9+15.5</f>
        <v>47.4</v>
      </c>
      <c r="G22" s="68">
        <f t="shared" si="1"/>
        <v>23.7</v>
      </c>
      <c r="H22" s="68">
        <f t="shared" si="2"/>
        <v>200</v>
      </c>
      <c r="K22" s="129">
        <v>1030</v>
      </c>
      <c r="L22" s="130">
        <f>SUM(D36,D104,D136,D159,D188,D235,D260,D268,D303,D365,D369,)</f>
        <v>472.20000000000005</v>
      </c>
      <c r="M22" s="130">
        <f>SUM(E36,E104,E136,E159,E188,E235,E260,E268,E303,E365,E369,)</f>
        <v>381.90000000000003</v>
      </c>
      <c r="N22" s="130">
        <f>SUM(F36,F104,F136,F159,F188,F235,F260,F268,F303,F365,F369,)</f>
        <v>654.50000000000011</v>
      </c>
      <c r="O22" s="75"/>
      <c r="P22" s="81"/>
      <c r="Q22" s="81"/>
      <c r="R22" s="81"/>
    </row>
    <row r="23" spans="1:18" ht="26.25" customHeight="1">
      <c r="A23" s="54"/>
      <c r="B23" s="41" t="s">
        <v>199</v>
      </c>
      <c r="C23" s="40"/>
      <c r="D23" s="16"/>
      <c r="E23" s="16">
        <v>13.5</v>
      </c>
      <c r="F23" s="16">
        <f>24.4+8.4</f>
        <v>32.799999999999997</v>
      </c>
      <c r="G23" s="68">
        <f t="shared" si="1"/>
        <v>19.299999999999997</v>
      </c>
      <c r="H23" s="68">
        <f t="shared" si="2"/>
        <v>242.96296296296296</v>
      </c>
      <c r="K23" s="129">
        <v>1031</v>
      </c>
      <c r="L23" s="20">
        <f>SUM(D236,)</f>
        <v>25.6</v>
      </c>
      <c r="M23" s="20">
        <f t="shared" ref="M23:N23" si="6">SUM(E236,)</f>
        <v>0</v>
      </c>
      <c r="N23" s="20">
        <f t="shared" si="6"/>
        <v>0</v>
      </c>
      <c r="P23" s="82"/>
      <c r="Q23" s="82"/>
      <c r="R23" s="82"/>
    </row>
    <row r="24" spans="1:18" ht="26.25" customHeight="1">
      <c r="A24" s="54"/>
      <c r="B24" s="41" t="s">
        <v>200</v>
      </c>
      <c r="C24" s="40"/>
      <c r="D24" s="16"/>
      <c r="E24" s="16">
        <v>146.9</v>
      </c>
      <c r="F24" s="16">
        <f>189.4+84.2</f>
        <v>273.60000000000002</v>
      </c>
      <c r="G24" s="68">
        <f t="shared" si="1"/>
        <v>126.70000000000002</v>
      </c>
      <c r="H24" s="68">
        <f t="shared" si="2"/>
        <v>186.24914908100749</v>
      </c>
      <c r="K24" s="129">
        <v>1032</v>
      </c>
      <c r="L24" s="20">
        <f>SUM(D37,D189,)</f>
        <v>330.7</v>
      </c>
      <c r="M24" s="20">
        <f t="shared" ref="M24:N24" si="7">SUM(E37,E189,)</f>
        <v>63</v>
      </c>
      <c r="N24" s="20">
        <f t="shared" si="7"/>
        <v>335.1</v>
      </c>
      <c r="P24" s="82"/>
      <c r="Q24" s="82"/>
      <c r="R24" s="82"/>
    </row>
    <row r="25" spans="1:18" ht="26.25" customHeight="1">
      <c r="A25" s="54"/>
      <c r="B25" s="41" t="s">
        <v>201</v>
      </c>
      <c r="C25" s="40"/>
      <c r="D25" s="16">
        <v>221.8</v>
      </c>
      <c r="E25" s="16">
        <v>164</v>
      </c>
      <c r="F25" s="16">
        <f>574-26.6</f>
        <v>547.4</v>
      </c>
      <c r="G25" s="68">
        <f t="shared" si="1"/>
        <v>383.4</v>
      </c>
      <c r="H25" s="68">
        <f t="shared" si="2"/>
        <v>333.78048780487808</v>
      </c>
      <c r="K25" s="129">
        <v>1033</v>
      </c>
      <c r="L25" s="20">
        <f>SUM(D38,D190,)</f>
        <v>0</v>
      </c>
      <c r="M25" s="20">
        <f t="shared" ref="M25:N25" si="8">SUM(E38,E190,)</f>
        <v>48.4</v>
      </c>
      <c r="N25" s="20">
        <f t="shared" si="8"/>
        <v>143.9</v>
      </c>
      <c r="P25" s="82"/>
      <c r="Q25" s="82"/>
      <c r="R25" s="82"/>
    </row>
    <row r="26" spans="1:18" ht="26.25" customHeight="1">
      <c r="A26" s="54"/>
      <c r="B26" s="41" t="s">
        <v>202</v>
      </c>
      <c r="C26" s="40"/>
      <c r="D26" s="16">
        <v>35.5</v>
      </c>
      <c r="E26" s="16">
        <v>68.900000000000006</v>
      </c>
      <c r="F26" s="16">
        <v>22.5</v>
      </c>
      <c r="G26" s="68"/>
      <c r="H26" s="68"/>
      <c r="K26" s="129">
        <v>1034</v>
      </c>
      <c r="L26" s="20"/>
      <c r="M26" s="20"/>
      <c r="N26" s="20"/>
      <c r="P26" s="82"/>
      <c r="Q26" s="82"/>
      <c r="R26" s="82"/>
    </row>
    <row r="27" spans="1:18" ht="26.25" customHeight="1">
      <c r="A27" s="54"/>
      <c r="B27" s="41" t="s">
        <v>401</v>
      </c>
      <c r="C27" s="40"/>
      <c r="D27" s="16">
        <v>40.9</v>
      </c>
      <c r="E27" s="16">
        <v>17.2</v>
      </c>
      <c r="F27" s="16">
        <v>48.9</v>
      </c>
      <c r="G27" s="68">
        <f t="shared" si="1"/>
        <v>31.7</v>
      </c>
      <c r="H27" s="68">
        <f t="shared" si="2"/>
        <v>284.30232558139539</v>
      </c>
      <c r="K27" s="129">
        <v>1035</v>
      </c>
      <c r="L27" s="20">
        <f>SUM(D39,D105,D137,D160,D191,D261,D269,D304,D366,D370,)</f>
        <v>115.89999999999999</v>
      </c>
      <c r="M27" s="18">
        <f>SUM(E39,E105,E137,E160,E191,E261,E269,E304,E366,E370,)</f>
        <v>270.5</v>
      </c>
      <c r="N27" s="18">
        <f>SUM(F39,F105,F137,F160,F191,F261,F269,F304,F366,F370,)</f>
        <v>175.5</v>
      </c>
      <c r="P27" s="82"/>
      <c r="Q27" s="82"/>
      <c r="R27" s="82"/>
    </row>
    <row r="28" spans="1:18" ht="26.25" customHeight="1">
      <c r="A28" s="53"/>
      <c r="B28" s="41" t="s">
        <v>139</v>
      </c>
      <c r="C28" s="40"/>
      <c r="D28" s="16">
        <v>15.9</v>
      </c>
      <c r="E28" s="16">
        <v>6</v>
      </c>
      <c r="F28" s="16">
        <v>15.7</v>
      </c>
      <c r="G28" s="68">
        <f>F28-E28</f>
        <v>9.6999999999999993</v>
      </c>
      <c r="H28" s="68">
        <f>(F28/E28)*100</f>
        <v>261.66666666666669</v>
      </c>
      <c r="K28" s="129"/>
      <c r="P28" s="82"/>
      <c r="Q28" s="82"/>
      <c r="R28" s="82"/>
    </row>
    <row r="29" spans="1:18" ht="26.25" customHeight="1">
      <c r="A29" s="72" t="s">
        <v>86</v>
      </c>
      <c r="B29" s="134" t="s">
        <v>90</v>
      </c>
      <c r="C29" s="69">
        <v>1020</v>
      </c>
      <c r="D29" s="107">
        <f>D32+D30+D31</f>
        <v>4003.6</v>
      </c>
      <c r="E29" s="107">
        <f>E32+E30+E31</f>
        <v>4035.1000000000004</v>
      </c>
      <c r="F29" s="107">
        <f>F32+F30+F31</f>
        <v>7854.9999999999991</v>
      </c>
      <c r="G29" s="66">
        <f>F29-E29</f>
        <v>3819.8999999999987</v>
      </c>
      <c r="H29" s="66">
        <f>(F29/E29)*100</f>
        <v>194.66679884017742</v>
      </c>
      <c r="K29" s="129">
        <v>9000</v>
      </c>
      <c r="L29" s="82">
        <f>L9+L16+L23</f>
        <v>11302.800000000001</v>
      </c>
      <c r="M29" s="18">
        <f t="shared" ref="M29:N29" si="9">M9+M16+M23</f>
        <v>11372.7</v>
      </c>
      <c r="N29" s="18">
        <f t="shared" si="9"/>
        <v>16413.7</v>
      </c>
      <c r="P29" s="82"/>
      <c r="Q29" s="82"/>
      <c r="R29" s="82"/>
    </row>
    <row r="30" spans="1:18" ht="26.25" customHeight="1">
      <c r="A30" s="54" t="s">
        <v>364</v>
      </c>
      <c r="B30" s="55" t="s">
        <v>2</v>
      </c>
      <c r="C30" s="94">
        <v>1022</v>
      </c>
      <c r="D30" s="19">
        <v>3286.7</v>
      </c>
      <c r="E30" s="19">
        <v>3292.4</v>
      </c>
      <c r="F30" s="19">
        <f>1956.4+1011.3+936.6+2498</f>
        <v>6402.2999999999993</v>
      </c>
      <c r="G30" s="133">
        <f t="shared" ref="G30:G35" si="10">F30-E30</f>
        <v>3109.8999999999992</v>
      </c>
      <c r="H30" s="133">
        <f t="shared" ref="H30:H35" si="11">(F30/E30)*100</f>
        <v>194.4569311140809</v>
      </c>
      <c r="K30" s="129">
        <v>9010</v>
      </c>
      <c r="L30" s="20">
        <f>L10+L17+L24</f>
        <v>44748.6</v>
      </c>
      <c r="M30" s="20">
        <f t="shared" ref="M30:N30" si="12">M10+M17+M24</f>
        <v>49807.8</v>
      </c>
      <c r="N30" s="20">
        <f t="shared" si="12"/>
        <v>53283.1</v>
      </c>
      <c r="P30" s="82"/>
      <c r="Q30" s="82"/>
      <c r="R30" s="82"/>
    </row>
    <row r="31" spans="1:18" ht="26.25" customHeight="1">
      <c r="A31" s="54" t="s">
        <v>409</v>
      </c>
      <c r="B31" s="55" t="s">
        <v>3</v>
      </c>
      <c r="C31" s="94">
        <v>1023</v>
      </c>
      <c r="D31" s="19">
        <v>692.5</v>
      </c>
      <c r="E31" s="19">
        <v>725.9</v>
      </c>
      <c r="F31" s="19">
        <f>868.2+549.6</f>
        <v>1417.8000000000002</v>
      </c>
      <c r="G31" s="133">
        <f t="shared" si="10"/>
        <v>691.9000000000002</v>
      </c>
      <c r="H31" s="133">
        <f t="shared" si="11"/>
        <v>195.31615925058551</v>
      </c>
      <c r="K31" s="129">
        <v>9020</v>
      </c>
      <c r="L31" s="20">
        <f>L11+L18+L25</f>
        <v>9587</v>
      </c>
      <c r="M31" s="20">
        <f t="shared" ref="M31:N31" si="13">M11+M18+M25</f>
        <v>10818</v>
      </c>
      <c r="N31" s="20">
        <f t="shared" si="13"/>
        <v>11373.800000000001</v>
      </c>
    </row>
    <row r="32" spans="1:18" ht="26.25" customHeight="1">
      <c r="A32" s="54" t="s">
        <v>410</v>
      </c>
      <c r="B32" s="140" t="s">
        <v>141</v>
      </c>
      <c r="C32" s="94">
        <v>1025</v>
      </c>
      <c r="D32" s="19">
        <f>SUM(D33:D35)</f>
        <v>24.400000000000002</v>
      </c>
      <c r="E32" s="19">
        <f>SUM(E33:E35)</f>
        <v>16.8</v>
      </c>
      <c r="F32" s="19">
        <f>SUM(F33:F35)</f>
        <v>34.900000000000006</v>
      </c>
      <c r="G32" s="133">
        <f t="shared" si="10"/>
        <v>18.100000000000005</v>
      </c>
      <c r="H32" s="133">
        <f t="shared" si="11"/>
        <v>207.73809523809524</v>
      </c>
      <c r="K32" s="129">
        <v>9030</v>
      </c>
      <c r="L32" s="20">
        <f>L12+L19+L26</f>
        <v>1737.8999999999999</v>
      </c>
      <c r="M32" s="20">
        <f t="shared" ref="M32:N32" si="14">M12+M19+M26</f>
        <v>0</v>
      </c>
      <c r="N32" s="20">
        <f t="shared" si="14"/>
        <v>2074.5</v>
      </c>
      <c r="O32" s="83"/>
      <c r="P32" s="82"/>
      <c r="Q32" s="82"/>
      <c r="R32" s="82"/>
    </row>
    <row r="33" spans="1:18" ht="26.25" customHeight="1">
      <c r="A33" s="54"/>
      <c r="B33" s="41" t="s">
        <v>139</v>
      </c>
      <c r="C33" s="44"/>
      <c r="D33" s="16"/>
      <c r="E33" s="16">
        <v>2.9</v>
      </c>
      <c r="F33" s="16">
        <f>5.7+1</f>
        <v>6.7</v>
      </c>
      <c r="G33" s="68">
        <f t="shared" si="10"/>
        <v>3.8000000000000003</v>
      </c>
      <c r="H33" s="68">
        <f t="shared" si="11"/>
        <v>231.0344827586207</v>
      </c>
      <c r="K33" s="129">
        <v>9040</v>
      </c>
      <c r="L33" s="20">
        <f>L13+L20+L27</f>
        <v>5561.5</v>
      </c>
      <c r="M33" s="20">
        <f t="shared" ref="M33:N33" si="15">M13+M20+M27</f>
        <v>5584.2</v>
      </c>
      <c r="N33" s="20">
        <f t="shared" si="15"/>
        <v>8193.2000000000007</v>
      </c>
      <c r="O33" s="83"/>
      <c r="P33" s="82"/>
      <c r="Q33" s="82"/>
      <c r="R33" s="82"/>
    </row>
    <row r="34" spans="1:18" ht="39.75" customHeight="1">
      <c r="A34" s="54"/>
      <c r="B34" s="41" t="s">
        <v>203</v>
      </c>
      <c r="C34" s="44"/>
      <c r="D34" s="16">
        <v>21.6</v>
      </c>
      <c r="E34" s="16">
        <v>12.7</v>
      </c>
      <c r="F34" s="16">
        <v>26</v>
      </c>
      <c r="G34" s="68">
        <f t="shared" si="10"/>
        <v>13.3</v>
      </c>
      <c r="H34" s="68">
        <f t="shared" si="11"/>
        <v>204.7244094488189</v>
      </c>
      <c r="K34" s="129">
        <v>9050</v>
      </c>
      <c r="L34" s="81">
        <f>SUM(L29:L33)</f>
        <v>72937.799999999988</v>
      </c>
      <c r="M34" s="75">
        <f>SUM(M29:M33)</f>
        <v>77582.7</v>
      </c>
      <c r="N34" s="75">
        <f>SUM(N29:N33)</f>
        <v>91338.3</v>
      </c>
      <c r="O34" s="83"/>
      <c r="P34" s="82"/>
      <c r="Q34" s="82"/>
      <c r="R34" s="82"/>
    </row>
    <row r="35" spans="1:18" ht="25.5" customHeight="1">
      <c r="A35" s="54"/>
      <c r="B35" s="41" t="s">
        <v>356</v>
      </c>
      <c r="C35" s="40"/>
      <c r="D35" s="19">
        <v>2.8</v>
      </c>
      <c r="E35" s="19">
        <v>1.2</v>
      </c>
      <c r="F35" s="19">
        <f>1.9+0.3</f>
        <v>2.1999999999999997</v>
      </c>
      <c r="G35" s="68">
        <f t="shared" si="10"/>
        <v>0.99999999999999978</v>
      </c>
      <c r="H35" s="68">
        <f t="shared" si="11"/>
        <v>183.33333333333331</v>
      </c>
      <c r="K35" s="129"/>
      <c r="L35" s="179"/>
      <c r="M35" s="155"/>
      <c r="N35" s="155"/>
      <c r="O35" s="83"/>
      <c r="P35" s="82"/>
      <c r="Q35" s="82"/>
      <c r="R35" s="82"/>
    </row>
    <row r="36" spans="1:18" ht="26.25" customHeight="1">
      <c r="A36" s="72" t="s">
        <v>89</v>
      </c>
      <c r="B36" s="141" t="s">
        <v>91</v>
      </c>
      <c r="C36" s="69">
        <v>1030</v>
      </c>
      <c r="D36" s="107">
        <f>D39+D37+D38</f>
        <v>335.8</v>
      </c>
      <c r="E36" s="107">
        <f>E39+E37+E38</f>
        <v>111.4</v>
      </c>
      <c r="F36" s="107">
        <f>F37+F38+F39</f>
        <v>479</v>
      </c>
      <c r="G36" s="66">
        <f>F36-E36</f>
        <v>367.6</v>
      </c>
      <c r="H36" s="66">
        <f>(F36/E36)*100</f>
        <v>429.98204667863547</v>
      </c>
      <c r="K36" s="129"/>
      <c r="L36" s="179"/>
      <c r="M36" s="155"/>
      <c r="N36" s="155"/>
      <c r="O36" s="84"/>
      <c r="P36" s="82"/>
      <c r="Q36" s="82"/>
      <c r="R36" s="82"/>
    </row>
    <row r="37" spans="1:18" ht="26.25" customHeight="1">
      <c r="A37" s="54" t="s">
        <v>208</v>
      </c>
      <c r="B37" s="55" t="s">
        <v>2</v>
      </c>
      <c r="C37" s="94">
        <v>1032</v>
      </c>
      <c r="D37" s="19">
        <v>289.2</v>
      </c>
      <c r="E37" s="19">
        <v>63</v>
      </c>
      <c r="F37" s="19">
        <f>246.7+88.4</f>
        <v>335.1</v>
      </c>
      <c r="G37" s="133">
        <f t="shared" ref="G37:G40" si="16">F37-E37</f>
        <v>272.10000000000002</v>
      </c>
      <c r="H37" s="133">
        <f t="shared" ref="H37:H38" si="17">(F37/E37)*100</f>
        <v>531.90476190476193</v>
      </c>
      <c r="K37" s="129"/>
      <c r="L37" s="180"/>
      <c r="M37" s="131"/>
      <c r="N37" s="131"/>
    </row>
    <row r="38" spans="1:18" ht="26.25" customHeight="1">
      <c r="A38" s="54" t="s">
        <v>365</v>
      </c>
      <c r="B38" s="55" t="s">
        <v>3</v>
      </c>
      <c r="C38" s="94">
        <v>1033</v>
      </c>
      <c r="D38" s="19"/>
      <c r="E38" s="19">
        <v>48.4</v>
      </c>
      <c r="F38" s="19">
        <f>95.2+48.7</f>
        <v>143.9</v>
      </c>
      <c r="G38" s="133">
        <f t="shared" si="16"/>
        <v>95.5</v>
      </c>
      <c r="H38" s="133">
        <f t="shared" si="17"/>
        <v>297.31404958677689</v>
      </c>
      <c r="K38" s="129"/>
      <c r="L38" s="180"/>
      <c r="M38" s="131"/>
      <c r="N38" s="131"/>
    </row>
    <row r="39" spans="1:18" ht="26.25" customHeight="1">
      <c r="A39" s="54" t="s">
        <v>411</v>
      </c>
      <c r="B39" s="57" t="s">
        <v>91</v>
      </c>
      <c r="C39" s="94">
        <v>1035</v>
      </c>
      <c r="D39" s="19">
        <f>D40</f>
        <v>46.6</v>
      </c>
      <c r="E39" s="19">
        <f>E40</f>
        <v>0</v>
      </c>
      <c r="F39" s="19">
        <f>F40</f>
        <v>0</v>
      </c>
      <c r="G39" s="133">
        <f t="shared" si="16"/>
        <v>0</v>
      </c>
      <c r="H39" s="133"/>
      <c r="K39" s="129"/>
      <c r="L39" s="179"/>
      <c r="M39" s="155"/>
      <c r="N39" s="155"/>
    </row>
    <row r="40" spans="1:18" ht="26.25" customHeight="1">
      <c r="A40" s="54"/>
      <c r="B40" s="42" t="s">
        <v>143</v>
      </c>
      <c r="C40" s="40"/>
      <c r="D40" s="16">
        <v>46.6</v>
      </c>
      <c r="E40" s="19"/>
      <c r="F40" s="19"/>
      <c r="G40" s="68">
        <f t="shared" si="16"/>
        <v>0</v>
      </c>
      <c r="H40" s="68"/>
      <c r="K40" s="129"/>
      <c r="L40" s="130"/>
      <c r="M40" s="130"/>
      <c r="N40" s="130"/>
    </row>
    <row r="41" spans="1:18" ht="26.25" customHeight="1">
      <c r="A41" s="360" t="s">
        <v>581</v>
      </c>
      <c r="B41" s="361" t="s">
        <v>144</v>
      </c>
      <c r="C41" s="64"/>
      <c r="D41" s="15">
        <f>D43+D87+D104</f>
        <v>855.6</v>
      </c>
      <c r="E41" s="15">
        <f>E43+E87+E104</f>
        <v>1125.5000000000002</v>
      </c>
      <c r="F41" s="15">
        <f>F43+F87+F104</f>
        <v>1004.7</v>
      </c>
      <c r="G41" s="66">
        <f>F41-E41</f>
        <v>-120.80000000000018</v>
      </c>
      <c r="H41" s="66">
        <f>(F41/E41)*100</f>
        <v>89.266992447800959</v>
      </c>
    </row>
    <row r="42" spans="1:18" ht="26.25" customHeight="1">
      <c r="A42" s="46"/>
      <c r="B42" s="345" t="s">
        <v>84</v>
      </c>
      <c r="C42" s="47"/>
      <c r="D42" s="16"/>
      <c r="E42" s="16"/>
      <c r="F42" s="16"/>
      <c r="G42" s="66"/>
      <c r="H42" s="66"/>
    </row>
    <row r="43" spans="1:18" ht="26.25" customHeight="1">
      <c r="A43" s="72" t="s">
        <v>582</v>
      </c>
      <c r="B43" s="135" t="s">
        <v>88</v>
      </c>
      <c r="C43" s="69">
        <v>1010</v>
      </c>
      <c r="D43" s="107">
        <f>D44+D59+D58+D57+D56</f>
        <v>760.30000000000007</v>
      </c>
      <c r="E43" s="107">
        <f t="shared" ref="E43:F43" si="18">E44+E59+E58+E57+E56</f>
        <v>938.90000000000009</v>
      </c>
      <c r="F43" s="107">
        <f t="shared" si="18"/>
        <v>732.6</v>
      </c>
      <c r="G43" s="136">
        <f>F43-E43</f>
        <v>-206.30000000000007</v>
      </c>
      <c r="H43" s="136">
        <f>(F43/E43)*100</f>
        <v>78.027478964745981</v>
      </c>
    </row>
    <row r="44" spans="1:18" ht="26.25" customHeight="1">
      <c r="A44" s="54" t="s">
        <v>583</v>
      </c>
      <c r="B44" s="137" t="s">
        <v>78</v>
      </c>
      <c r="C44" s="44">
        <v>1011</v>
      </c>
      <c r="D44" s="19">
        <f>SUM(D45:D55)</f>
        <v>224.60000000000002</v>
      </c>
      <c r="E44" s="19">
        <f>SUM(E45:E55)</f>
        <v>452.5</v>
      </c>
      <c r="F44" s="19">
        <f>SUM(F45:F55)</f>
        <v>268.79999999999995</v>
      </c>
      <c r="G44" s="133">
        <f t="shared" ref="G44:G73" si="19">F44-E44</f>
        <v>-183.70000000000005</v>
      </c>
      <c r="H44" s="133">
        <f t="shared" ref="H44:H72" si="20">(F44/E44)*100</f>
        <v>59.403314917127062</v>
      </c>
    </row>
    <row r="45" spans="1:18" ht="24.75" customHeight="1">
      <c r="A45" s="54"/>
      <c r="B45" s="39" t="s">
        <v>134</v>
      </c>
      <c r="C45" s="45"/>
      <c r="D45" s="16">
        <v>113.5</v>
      </c>
      <c r="E45" s="16">
        <v>17.5</v>
      </c>
      <c r="F45" s="16">
        <f>98.6+16.8+0.2+0.2</f>
        <v>115.8</v>
      </c>
      <c r="G45" s="68">
        <f t="shared" si="19"/>
        <v>98.3</v>
      </c>
      <c r="H45" s="68">
        <f t="shared" si="20"/>
        <v>661.71428571428567</v>
      </c>
    </row>
    <row r="46" spans="1:18" ht="23.25" customHeight="1">
      <c r="A46" s="54"/>
      <c r="B46" s="42" t="s">
        <v>135</v>
      </c>
      <c r="C46" s="45"/>
      <c r="D46" s="16">
        <v>30.8</v>
      </c>
      <c r="E46" s="16">
        <v>175</v>
      </c>
      <c r="F46" s="16">
        <f>10.8+11.4</f>
        <v>22.200000000000003</v>
      </c>
      <c r="G46" s="68">
        <f t="shared" si="19"/>
        <v>-152.80000000000001</v>
      </c>
      <c r="H46" s="68">
        <f t="shared" si="20"/>
        <v>12.685714285714287</v>
      </c>
    </row>
    <row r="47" spans="1:18" ht="23.25" customHeight="1">
      <c r="A47" s="54"/>
      <c r="B47" s="42" t="s">
        <v>399</v>
      </c>
      <c r="C47" s="45"/>
      <c r="D47" s="16">
        <v>0.9</v>
      </c>
      <c r="E47" s="16"/>
      <c r="F47" s="16">
        <f>9.3+26.4</f>
        <v>35.700000000000003</v>
      </c>
      <c r="G47" s="68">
        <f t="shared" si="19"/>
        <v>35.700000000000003</v>
      </c>
      <c r="H47" s="68"/>
    </row>
    <row r="48" spans="1:18" ht="45" customHeight="1">
      <c r="A48" s="54"/>
      <c r="B48" s="342" t="s">
        <v>145</v>
      </c>
      <c r="C48" s="45"/>
      <c r="D48" s="16">
        <v>47.7</v>
      </c>
      <c r="E48" s="16">
        <v>22.2</v>
      </c>
      <c r="F48" s="16">
        <f>72.8+45.9-79.2-2.1</f>
        <v>37.399999999999984</v>
      </c>
      <c r="G48" s="68">
        <f t="shared" si="19"/>
        <v>15.199999999999985</v>
      </c>
      <c r="H48" s="68">
        <f t="shared" si="20"/>
        <v>168.46846846846842</v>
      </c>
    </row>
    <row r="49" spans="1:8" ht="27" customHeight="1">
      <c r="A49" s="54"/>
      <c r="B49" s="342" t="s">
        <v>526</v>
      </c>
      <c r="C49" s="45"/>
      <c r="D49" s="16"/>
      <c r="E49" s="16">
        <v>4.3</v>
      </c>
      <c r="F49" s="16">
        <v>6.2</v>
      </c>
      <c r="G49" s="68"/>
      <c r="H49" s="68"/>
    </row>
    <row r="50" spans="1:8" ht="36" customHeight="1">
      <c r="A50" s="54"/>
      <c r="B50" s="41" t="s">
        <v>366</v>
      </c>
      <c r="C50" s="45"/>
      <c r="D50" s="16">
        <v>26.7</v>
      </c>
      <c r="E50" s="16">
        <v>38.200000000000003</v>
      </c>
      <c r="F50" s="16"/>
      <c r="G50" s="68">
        <f t="shared" si="19"/>
        <v>-38.200000000000003</v>
      </c>
      <c r="H50" s="68">
        <f t="shared" si="20"/>
        <v>0</v>
      </c>
    </row>
    <row r="51" spans="1:8" ht="24" customHeight="1">
      <c r="A51" s="54"/>
      <c r="B51" s="342" t="s">
        <v>407</v>
      </c>
      <c r="C51" s="45"/>
      <c r="D51" s="16"/>
      <c r="E51" s="16"/>
      <c r="F51" s="16">
        <f>17.6+33.9</f>
        <v>51.5</v>
      </c>
      <c r="G51" s="68"/>
      <c r="H51" s="68"/>
    </row>
    <row r="52" spans="1:8" ht="23.25" customHeight="1">
      <c r="A52" s="54"/>
      <c r="B52" s="342" t="s">
        <v>336</v>
      </c>
      <c r="C52" s="45"/>
      <c r="D52" s="16"/>
      <c r="E52" s="16">
        <v>78.7</v>
      </c>
      <c r="F52" s="16"/>
      <c r="G52" s="68">
        <f t="shared" si="19"/>
        <v>-78.7</v>
      </c>
      <c r="H52" s="68">
        <f t="shared" si="20"/>
        <v>0</v>
      </c>
    </row>
    <row r="53" spans="1:8" ht="26.25" customHeight="1">
      <c r="A53" s="54"/>
      <c r="B53" s="342" t="s">
        <v>337</v>
      </c>
      <c r="C53" s="45"/>
      <c r="D53" s="16"/>
      <c r="E53" s="16">
        <v>81</v>
      </c>
      <c r="F53" s="16"/>
      <c r="G53" s="68">
        <f t="shared" si="19"/>
        <v>-81</v>
      </c>
      <c r="H53" s="68">
        <f t="shared" si="20"/>
        <v>0</v>
      </c>
    </row>
    <row r="54" spans="1:8" ht="26.25" customHeight="1">
      <c r="A54" s="54"/>
      <c r="B54" s="342" t="s">
        <v>439</v>
      </c>
      <c r="C54" s="45"/>
      <c r="D54" s="16">
        <v>5</v>
      </c>
      <c r="E54" s="16"/>
      <c r="F54" s="16"/>
      <c r="G54" s="68"/>
      <c r="H54" s="68"/>
    </row>
    <row r="55" spans="1:8" ht="25.5" customHeight="1">
      <c r="A55" s="54"/>
      <c r="B55" s="342" t="s">
        <v>338</v>
      </c>
      <c r="C55" s="45"/>
      <c r="D55" s="16"/>
      <c r="E55" s="16">
        <v>35.6</v>
      </c>
      <c r="F55" s="16"/>
      <c r="G55" s="68">
        <f t="shared" si="19"/>
        <v>-35.6</v>
      </c>
      <c r="H55" s="68">
        <f t="shared" si="20"/>
        <v>0</v>
      </c>
    </row>
    <row r="56" spans="1:8" ht="25.5" customHeight="1">
      <c r="A56" s="54" t="s">
        <v>584</v>
      </c>
      <c r="B56" s="55" t="s">
        <v>2</v>
      </c>
      <c r="C56" s="94">
        <v>1012</v>
      </c>
      <c r="D56" s="16">
        <v>5.5</v>
      </c>
      <c r="E56" s="16"/>
      <c r="F56" s="16">
        <v>68.7</v>
      </c>
      <c r="G56" s="68"/>
      <c r="H56" s="68"/>
    </row>
    <row r="57" spans="1:8" ht="25.5" customHeight="1">
      <c r="A57" s="54" t="s">
        <v>585</v>
      </c>
      <c r="B57" s="55" t="s">
        <v>3</v>
      </c>
      <c r="C57" s="94">
        <v>1013</v>
      </c>
      <c r="D57" s="16">
        <v>1.2</v>
      </c>
      <c r="E57" s="16"/>
      <c r="F57" s="16">
        <v>15.1</v>
      </c>
      <c r="G57" s="68"/>
      <c r="H57" s="68"/>
    </row>
    <row r="58" spans="1:8" ht="26.25" customHeight="1">
      <c r="A58" s="54" t="s">
        <v>586</v>
      </c>
      <c r="B58" s="143" t="s">
        <v>4</v>
      </c>
      <c r="C58" s="56">
        <v>1014</v>
      </c>
      <c r="D58" s="19">
        <v>131.6</v>
      </c>
      <c r="E58" s="19"/>
      <c r="F58" s="19">
        <v>153.69999999999999</v>
      </c>
      <c r="G58" s="133">
        <f t="shared" si="19"/>
        <v>153.69999999999999</v>
      </c>
      <c r="H58" s="133"/>
    </row>
    <row r="59" spans="1:8" ht="26.25" customHeight="1">
      <c r="A59" s="54" t="s">
        <v>587</v>
      </c>
      <c r="B59" s="143" t="s">
        <v>94</v>
      </c>
      <c r="C59" s="56">
        <v>1015</v>
      </c>
      <c r="D59" s="19">
        <f>SUM(D60:D85)</f>
        <v>397.40000000000003</v>
      </c>
      <c r="E59" s="19">
        <f>SUM(E60:E86)</f>
        <v>486.40000000000003</v>
      </c>
      <c r="F59" s="19">
        <f>SUM(F60:F86)</f>
        <v>226.3</v>
      </c>
      <c r="G59" s="133">
        <f t="shared" si="19"/>
        <v>-260.10000000000002</v>
      </c>
      <c r="H59" s="133">
        <f t="shared" si="20"/>
        <v>46.52549342105263</v>
      </c>
    </row>
    <row r="60" spans="1:8" ht="26.25" customHeight="1">
      <c r="A60" s="72"/>
      <c r="B60" s="342" t="s">
        <v>344</v>
      </c>
      <c r="C60" s="77"/>
      <c r="D60" s="16">
        <v>11.3</v>
      </c>
      <c r="E60" s="86">
        <v>49.7</v>
      </c>
      <c r="F60" s="16"/>
      <c r="G60" s="68">
        <f t="shared" si="19"/>
        <v>-49.7</v>
      </c>
      <c r="H60" s="68">
        <f t="shared" si="20"/>
        <v>0</v>
      </c>
    </row>
    <row r="61" spans="1:8" ht="26.25" customHeight="1">
      <c r="A61" s="72"/>
      <c r="B61" s="342" t="s">
        <v>197</v>
      </c>
      <c r="C61" s="77"/>
      <c r="D61" s="16"/>
      <c r="E61" s="86">
        <v>38</v>
      </c>
      <c r="F61" s="16"/>
      <c r="G61" s="68">
        <f t="shared" si="19"/>
        <v>-38</v>
      </c>
      <c r="H61" s="68">
        <f t="shared" si="20"/>
        <v>0</v>
      </c>
    </row>
    <row r="62" spans="1:8" ht="26.25" customHeight="1">
      <c r="A62" s="72"/>
      <c r="B62" s="342" t="s">
        <v>198</v>
      </c>
      <c r="C62" s="77"/>
      <c r="D62" s="16"/>
      <c r="E62" s="86">
        <v>32</v>
      </c>
      <c r="F62" s="16"/>
      <c r="G62" s="68">
        <f t="shared" si="19"/>
        <v>-32</v>
      </c>
      <c r="H62" s="68">
        <f t="shared" si="20"/>
        <v>0</v>
      </c>
    </row>
    <row r="63" spans="1:8" ht="26.25" customHeight="1">
      <c r="A63" s="72"/>
      <c r="B63" s="342" t="s">
        <v>199</v>
      </c>
      <c r="C63" s="77"/>
      <c r="D63" s="16"/>
      <c r="E63" s="86">
        <v>41.6</v>
      </c>
      <c r="F63" s="16"/>
      <c r="G63" s="68">
        <f t="shared" si="19"/>
        <v>-41.6</v>
      </c>
      <c r="H63" s="68">
        <f t="shared" si="20"/>
        <v>0</v>
      </c>
    </row>
    <row r="64" spans="1:8" ht="26.25" customHeight="1">
      <c r="A64" s="72"/>
      <c r="B64" s="342" t="s">
        <v>200</v>
      </c>
      <c r="C64" s="77"/>
      <c r="D64" s="16">
        <v>80.599999999999994</v>
      </c>
      <c r="E64" s="86">
        <v>103</v>
      </c>
      <c r="F64" s="16">
        <f>0.9+3.5+7.3</f>
        <v>11.7</v>
      </c>
      <c r="G64" s="68">
        <f t="shared" si="19"/>
        <v>-91.3</v>
      </c>
      <c r="H64" s="68">
        <f t="shared" si="20"/>
        <v>11.359223300970873</v>
      </c>
    </row>
    <row r="65" spans="1:8" ht="26.25" customHeight="1">
      <c r="A65" s="72"/>
      <c r="B65" s="342" t="s">
        <v>201</v>
      </c>
      <c r="C65" s="77"/>
      <c r="D65" s="16">
        <v>49.4</v>
      </c>
      <c r="E65" s="86">
        <v>37.4</v>
      </c>
      <c r="F65" s="16">
        <f>36.2+27.7</f>
        <v>63.900000000000006</v>
      </c>
      <c r="G65" s="68"/>
      <c r="H65" s="68"/>
    </row>
    <row r="66" spans="1:8" ht="26.25" customHeight="1">
      <c r="A66" s="72"/>
      <c r="B66" s="41" t="s">
        <v>202</v>
      </c>
      <c r="C66" s="18"/>
      <c r="D66" s="58"/>
      <c r="E66" s="86"/>
      <c r="F66" s="16">
        <f>19+6.5</f>
        <v>25.5</v>
      </c>
      <c r="G66" s="68">
        <f t="shared" si="19"/>
        <v>25.5</v>
      </c>
      <c r="H66" s="68" t="e">
        <f t="shared" si="20"/>
        <v>#DIV/0!</v>
      </c>
    </row>
    <row r="67" spans="1:8" ht="26.25" customHeight="1">
      <c r="A67" s="72"/>
      <c r="B67" s="41" t="s">
        <v>322</v>
      </c>
      <c r="C67" s="45"/>
      <c r="D67" s="16">
        <v>41.8</v>
      </c>
      <c r="E67" s="86"/>
      <c r="F67" s="16"/>
      <c r="G67" s="68"/>
      <c r="H67" s="68"/>
    </row>
    <row r="68" spans="1:8" ht="26.25" customHeight="1">
      <c r="A68" s="72"/>
      <c r="B68" s="41" t="s">
        <v>367</v>
      </c>
      <c r="C68" s="45"/>
      <c r="D68" s="16"/>
      <c r="E68" s="86">
        <v>76.2</v>
      </c>
      <c r="F68" s="16">
        <f>18.8+5.7</f>
        <v>24.5</v>
      </c>
      <c r="G68" s="68">
        <f t="shared" si="19"/>
        <v>-51.7</v>
      </c>
      <c r="H68" s="68"/>
    </row>
    <row r="69" spans="1:8" ht="37.5" customHeight="1">
      <c r="A69" s="54"/>
      <c r="B69" s="41" t="s">
        <v>324</v>
      </c>
      <c r="C69" s="45"/>
      <c r="D69" s="16">
        <v>11.4</v>
      </c>
      <c r="E69" s="86">
        <v>3.9</v>
      </c>
      <c r="F69" s="16">
        <v>10.9</v>
      </c>
      <c r="G69" s="68">
        <f t="shared" si="19"/>
        <v>7</v>
      </c>
      <c r="H69" s="68"/>
    </row>
    <row r="70" spans="1:8" ht="29.25" customHeight="1">
      <c r="A70" s="54"/>
      <c r="B70" s="41" t="s">
        <v>524</v>
      </c>
      <c r="C70" s="45"/>
      <c r="D70" s="16"/>
      <c r="E70" s="86">
        <v>3.3</v>
      </c>
      <c r="F70" s="16">
        <f>2.5+0.8</f>
        <v>3.3</v>
      </c>
      <c r="G70" s="68"/>
      <c r="H70" s="68"/>
    </row>
    <row r="71" spans="1:8" ht="26.25" customHeight="1">
      <c r="A71" s="54"/>
      <c r="B71" s="58" t="s">
        <v>397</v>
      </c>
      <c r="C71" s="45"/>
      <c r="D71" s="16">
        <v>151.4</v>
      </c>
      <c r="E71" s="86">
        <v>44.9</v>
      </c>
      <c r="F71" s="16"/>
      <c r="G71" s="68">
        <f t="shared" si="19"/>
        <v>-44.9</v>
      </c>
      <c r="H71" s="68">
        <f t="shared" si="20"/>
        <v>0</v>
      </c>
    </row>
    <row r="72" spans="1:8" ht="28.5" customHeight="1">
      <c r="A72" s="54"/>
      <c r="B72" s="58" t="s">
        <v>139</v>
      </c>
      <c r="C72" s="45"/>
      <c r="D72" s="16">
        <v>1.6</v>
      </c>
      <c r="E72" s="86">
        <v>12.2</v>
      </c>
      <c r="F72" s="16">
        <f>10.8+5.5</f>
        <v>16.3</v>
      </c>
      <c r="G72" s="68">
        <f t="shared" si="19"/>
        <v>4.1000000000000014</v>
      </c>
      <c r="H72" s="68">
        <f t="shared" si="20"/>
        <v>133.60655737704917</v>
      </c>
    </row>
    <row r="73" spans="1:8" ht="38.25" customHeight="1">
      <c r="A73" s="54"/>
      <c r="B73" s="41" t="s">
        <v>203</v>
      </c>
      <c r="C73" s="58"/>
      <c r="D73" s="58">
        <v>7.8</v>
      </c>
      <c r="E73" s="86"/>
      <c r="F73" s="16">
        <v>6.6</v>
      </c>
      <c r="G73" s="68">
        <f t="shared" si="19"/>
        <v>6.6</v>
      </c>
      <c r="H73" s="68"/>
    </row>
    <row r="74" spans="1:8" ht="26.25" customHeight="1">
      <c r="A74" s="54"/>
      <c r="B74" s="49" t="s">
        <v>382</v>
      </c>
      <c r="C74" s="58"/>
      <c r="D74" s="58">
        <v>5.8</v>
      </c>
      <c r="E74" s="86">
        <v>7</v>
      </c>
      <c r="F74" s="16">
        <v>6.6</v>
      </c>
      <c r="G74" s="68"/>
      <c r="H74" s="68"/>
    </row>
    <row r="75" spans="1:8" ht="26.25" customHeight="1">
      <c r="A75" s="53"/>
      <c r="B75" s="41" t="s">
        <v>340</v>
      </c>
      <c r="C75" s="45"/>
      <c r="D75" s="16"/>
      <c r="E75" s="86">
        <v>4.0999999999999996</v>
      </c>
      <c r="F75" s="16">
        <v>5.6</v>
      </c>
      <c r="G75" s="68">
        <f>F75-E75</f>
        <v>1.5</v>
      </c>
      <c r="H75" s="68">
        <f>(F75/E75)*100</f>
        <v>136.58536585365854</v>
      </c>
    </row>
    <row r="76" spans="1:8" ht="26.25" customHeight="1">
      <c r="A76" s="53"/>
      <c r="B76" s="41" t="s">
        <v>368</v>
      </c>
      <c r="C76" s="45"/>
      <c r="D76" s="16">
        <v>4.8</v>
      </c>
      <c r="E76" s="86"/>
      <c r="F76" s="16">
        <v>2.6</v>
      </c>
      <c r="G76" s="68">
        <f t="shared" ref="G76:G85" si="21">F76-E76</f>
        <v>2.6</v>
      </c>
      <c r="H76" s="68" t="e">
        <f t="shared" ref="H76:H84" si="22">(F76/E76)*100</f>
        <v>#DIV/0!</v>
      </c>
    </row>
    <row r="77" spans="1:8" ht="26.25" customHeight="1">
      <c r="A77" s="53"/>
      <c r="B77" s="49" t="s">
        <v>537</v>
      </c>
      <c r="C77" s="45"/>
      <c r="D77" s="16">
        <v>8.6</v>
      </c>
      <c r="E77" s="86">
        <v>13.6</v>
      </c>
      <c r="F77" s="16"/>
      <c r="G77" s="68">
        <f t="shared" si="21"/>
        <v>-13.6</v>
      </c>
      <c r="H77" s="68"/>
    </row>
    <row r="78" spans="1:8" ht="26.25" customHeight="1">
      <c r="A78" s="53"/>
      <c r="B78" s="41" t="s">
        <v>441</v>
      </c>
      <c r="C78" s="45"/>
      <c r="D78" s="16">
        <v>11.5</v>
      </c>
      <c r="E78" s="86"/>
      <c r="F78" s="16"/>
      <c r="G78" s="68">
        <f t="shared" si="21"/>
        <v>0</v>
      </c>
      <c r="H78" s="68" t="e">
        <f t="shared" si="22"/>
        <v>#DIV/0!</v>
      </c>
    </row>
    <row r="79" spans="1:8" ht="26.25" customHeight="1">
      <c r="A79" s="53"/>
      <c r="B79" s="41" t="s">
        <v>175</v>
      </c>
      <c r="C79" s="45"/>
      <c r="D79" s="16">
        <v>1.6</v>
      </c>
      <c r="E79" s="86">
        <v>2.6</v>
      </c>
      <c r="F79" s="16"/>
      <c r="G79" s="68">
        <f t="shared" si="21"/>
        <v>-2.6</v>
      </c>
      <c r="H79" s="68">
        <f t="shared" si="22"/>
        <v>0</v>
      </c>
    </row>
    <row r="80" spans="1:8" ht="26.25" customHeight="1">
      <c r="A80" s="53"/>
      <c r="B80" s="41" t="s">
        <v>341</v>
      </c>
      <c r="C80" s="45"/>
      <c r="D80" s="16">
        <v>2.7</v>
      </c>
      <c r="E80" s="86">
        <v>0.3</v>
      </c>
      <c r="F80" s="16"/>
      <c r="G80" s="68"/>
      <c r="H80" s="68"/>
    </row>
    <row r="81" spans="1:8" ht="26.25" customHeight="1">
      <c r="A81" s="53"/>
      <c r="B81" s="41" t="s">
        <v>164</v>
      </c>
      <c r="C81" s="45"/>
      <c r="D81" s="16"/>
      <c r="E81" s="86">
        <v>6.8</v>
      </c>
      <c r="F81" s="16">
        <f>7.3+5.8</f>
        <v>13.1</v>
      </c>
      <c r="G81" s="68">
        <f t="shared" si="21"/>
        <v>6.3</v>
      </c>
      <c r="H81" s="68">
        <f t="shared" si="22"/>
        <v>192.64705882352942</v>
      </c>
    </row>
    <row r="82" spans="1:8" ht="26.25" customHeight="1">
      <c r="A82" s="53"/>
      <c r="B82" s="41" t="s">
        <v>162</v>
      </c>
      <c r="C82" s="45"/>
      <c r="D82" s="16">
        <v>0.5</v>
      </c>
      <c r="E82" s="86"/>
      <c r="F82" s="16">
        <f>0.9+0.4</f>
        <v>1.3</v>
      </c>
      <c r="G82" s="68">
        <f t="shared" si="21"/>
        <v>1.3</v>
      </c>
      <c r="H82" s="68"/>
    </row>
    <row r="83" spans="1:8" ht="26.25" customHeight="1">
      <c r="A83" s="53"/>
      <c r="B83" s="41" t="s">
        <v>163</v>
      </c>
      <c r="C83" s="45"/>
      <c r="D83" s="16">
        <v>0.2</v>
      </c>
      <c r="E83" s="86">
        <v>5</v>
      </c>
      <c r="F83" s="16">
        <f>19.9+2.9</f>
        <v>22.799999999999997</v>
      </c>
      <c r="G83" s="68">
        <f t="shared" si="21"/>
        <v>17.799999999999997</v>
      </c>
      <c r="H83" s="68">
        <f t="shared" si="22"/>
        <v>455.99999999999994</v>
      </c>
    </row>
    <row r="84" spans="1:8" ht="26.25" customHeight="1">
      <c r="A84" s="53"/>
      <c r="B84" s="41" t="s">
        <v>177</v>
      </c>
      <c r="C84" s="45"/>
      <c r="D84" s="16">
        <v>1.9</v>
      </c>
      <c r="E84" s="86">
        <v>0.8</v>
      </c>
      <c r="F84" s="16">
        <f>0.7+0.1</f>
        <v>0.79999999999999993</v>
      </c>
      <c r="G84" s="68">
        <f t="shared" si="21"/>
        <v>0</v>
      </c>
      <c r="H84" s="68">
        <f t="shared" si="22"/>
        <v>99.999999999999986</v>
      </c>
    </row>
    <row r="85" spans="1:8" ht="26.25" customHeight="1">
      <c r="A85" s="53"/>
      <c r="B85" s="58" t="s">
        <v>170</v>
      </c>
      <c r="C85" s="45"/>
      <c r="D85" s="16">
        <v>4.5</v>
      </c>
      <c r="E85" s="86"/>
      <c r="F85" s="16">
        <v>6.8</v>
      </c>
      <c r="G85" s="68">
        <f t="shared" si="21"/>
        <v>6.8</v>
      </c>
      <c r="H85" s="68"/>
    </row>
    <row r="86" spans="1:8" ht="26.25" customHeight="1">
      <c r="A86" s="53"/>
      <c r="B86" s="58" t="s">
        <v>343</v>
      </c>
      <c r="C86" s="45"/>
      <c r="D86" s="16"/>
      <c r="E86" s="86">
        <v>4</v>
      </c>
      <c r="F86" s="16">
        <v>4</v>
      </c>
      <c r="G86" s="68"/>
      <c r="H86" s="68"/>
    </row>
    <row r="87" spans="1:8" ht="26.25" customHeight="1">
      <c r="A87" s="72" t="s">
        <v>588</v>
      </c>
      <c r="B87" s="134" t="s">
        <v>90</v>
      </c>
      <c r="C87" s="69">
        <v>1020</v>
      </c>
      <c r="D87" s="107">
        <f>D88+D92</f>
        <v>93.5</v>
      </c>
      <c r="E87" s="107">
        <f>E88+E92</f>
        <v>73.2</v>
      </c>
      <c r="F87" s="107">
        <f>F88+F92</f>
        <v>172.40000000000003</v>
      </c>
      <c r="G87" s="136">
        <f>F87-E87</f>
        <v>99.200000000000031</v>
      </c>
      <c r="H87" s="136">
        <f>(F87/E87)*100</f>
        <v>235.51912568306014</v>
      </c>
    </row>
    <row r="88" spans="1:8" ht="26.25" customHeight="1">
      <c r="A88" s="54" t="s">
        <v>589</v>
      </c>
      <c r="B88" s="132" t="s">
        <v>105</v>
      </c>
      <c r="C88" s="56">
        <v>1021</v>
      </c>
      <c r="D88" s="19">
        <f>SUM(D89:D91)</f>
        <v>0</v>
      </c>
      <c r="E88" s="19">
        <f>SUM(E89:E91)</f>
        <v>35.5</v>
      </c>
      <c r="F88" s="19">
        <f>SUM(F89:F91)</f>
        <v>49.300000000000004</v>
      </c>
      <c r="G88" s="133">
        <f t="shared" ref="G88:G103" si="23">F88-E88</f>
        <v>13.800000000000004</v>
      </c>
      <c r="H88" s="133">
        <f t="shared" ref="H88:H103" si="24">(F88/E88)*100</f>
        <v>138.87323943661974</v>
      </c>
    </row>
    <row r="89" spans="1:8" ht="33.75" customHeight="1">
      <c r="A89" s="54"/>
      <c r="B89" s="41" t="s">
        <v>145</v>
      </c>
      <c r="C89" s="45"/>
      <c r="D89" s="16"/>
      <c r="E89" s="16">
        <v>24</v>
      </c>
      <c r="F89" s="16">
        <f>1+16.7+15.8+2.1</f>
        <v>35.6</v>
      </c>
      <c r="G89" s="68">
        <f t="shared" si="23"/>
        <v>11.600000000000001</v>
      </c>
      <c r="H89" s="68">
        <f t="shared" si="24"/>
        <v>148.33333333333334</v>
      </c>
    </row>
    <row r="90" spans="1:8" ht="33.75" customHeight="1">
      <c r="A90" s="54"/>
      <c r="B90" s="43" t="s">
        <v>349</v>
      </c>
      <c r="C90" s="45"/>
      <c r="D90" s="16"/>
      <c r="E90" s="16">
        <v>1.6</v>
      </c>
      <c r="F90" s="16">
        <v>5.7</v>
      </c>
      <c r="G90" s="68">
        <f t="shared" si="23"/>
        <v>4.0999999999999996</v>
      </c>
      <c r="H90" s="68">
        <f t="shared" si="24"/>
        <v>356.25</v>
      </c>
    </row>
    <row r="91" spans="1:8" ht="26.25" customHeight="1">
      <c r="A91" s="54"/>
      <c r="B91" s="49" t="s">
        <v>407</v>
      </c>
      <c r="C91" s="45"/>
      <c r="D91" s="16"/>
      <c r="E91" s="16">
        <v>9.9</v>
      </c>
      <c r="F91" s="16">
        <f>8</f>
        <v>8</v>
      </c>
      <c r="G91" s="68">
        <f t="shared" si="23"/>
        <v>-1.9000000000000004</v>
      </c>
      <c r="H91" s="68">
        <f t="shared" si="24"/>
        <v>80.808080808080803</v>
      </c>
    </row>
    <row r="92" spans="1:8" ht="26.25" customHeight="1">
      <c r="A92" s="54" t="s">
        <v>590</v>
      </c>
      <c r="B92" s="140" t="s">
        <v>141</v>
      </c>
      <c r="C92" s="56">
        <v>1025</v>
      </c>
      <c r="D92" s="19">
        <f>SUM(D93:D103)</f>
        <v>93.5</v>
      </c>
      <c r="E92" s="19">
        <f>SUM(E94:E103)</f>
        <v>37.700000000000003</v>
      </c>
      <c r="F92" s="19">
        <f>SUM(F93:F103)</f>
        <v>123.10000000000002</v>
      </c>
      <c r="G92" s="133">
        <f t="shared" si="23"/>
        <v>85.40000000000002</v>
      </c>
      <c r="H92" s="133">
        <f t="shared" si="24"/>
        <v>326.52519893899211</v>
      </c>
    </row>
    <row r="93" spans="1:8" ht="26.25" customHeight="1">
      <c r="A93" s="72"/>
      <c r="B93" s="39" t="s">
        <v>398</v>
      </c>
      <c r="C93" s="77"/>
      <c r="D93" s="16"/>
      <c r="E93" s="16"/>
      <c r="F93" s="16">
        <v>2.9</v>
      </c>
      <c r="G93" s="68">
        <f t="shared" si="23"/>
        <v>2.9</v>
      </c>
      <c r="H93" s="68"/>
    </row>
    <row r="94" spans="1:8" ht="26.25" customHeight="1">
      <c r="A94" s="72"/>
      <c r="B94" s="39" t="s">
        <v>346</v>
      </c>
      <c r="C94" s="77"/>
      <c r="D94" s="16"/>
      <c r="E94" s="16">
        <v>2</v>
      </c>
      <c r="F94" s="16">
        <f>1.9+0.9+1.9</f>
        <v>4.6999999999999993</v>
      </c>
      <c r="G94" s="68">
        <f t="shared" si="23"/>
        <v>2.6999999999999993</v>
      </c>
      <c r="H94" s="68">
        <f t="shared" si="24"/>
        <v>234.99999999999997</v>
      </c>
    </row>
    <row r="95" spans="1:8" ht="26.25" customHeight="1">
      <c r="A95" s="54"/>
      <c r="B95" s="42" t="s">
        <v>355</v>
      </c>
      <c r="C95" s="45"/>
      <c r="D95" s="16"/>
      <c r="E95" s="16">
        <v>7.4</v>
      </c>
      <c r="F95" s="16">
        <f>16.9</f>
        <v>16.899999999999999</v>
      </c>
      <c r="G95" s="68">
        <f t="shared" si="23"/>
        <v>9.4999999999999982</v>
      </c>
      <c r="H95" s="68">
        <f t="shared" si="24"/>
        <v>228.37837837837833</v>
      </c>
    </row>
    <row r="96" spans="1:8" ht="26.25" customHeight="1">
      <c r="A96" s="54"/>
      <c r="B96" s="42" t="s">
        <v>322</v>
      </c>
      <c r="C96" s="45"/>
      <c r="D96" s="16"/>
      <c r="E96" s="16"/>
      <c r="F96" s="16">
        <v>54.4</v>
      </c>
      <c r="G96" s="68"/>
      <c r="H96" s="68"/>
    </row>
    <row r="97" spans="1:8" ht="26.25" customHeight="1">
      <c r="A97" s="54"/>
      <c r="B97" s="42" t="s">
        <v>370</v>
      </c>
      <c r="C97" s="45"/>
      <c r="D97" s="16"/>
      <c r="E97" s="16"/>
      <c r="F97" s="16">
        <f>4.1</f>
        <v>4.0999999999999996</v>
      </c>
      <c r="G97" s="68">
        <f t="shared" si="23"/>
        <v>4.0999999999999996</v>
      </c>
      <c r="H97" s="68"/>
    </row>
    <row r="98" spans="1:8" ht="26.25" customHeight="1">
      <c r="A98" s="53"/>
      <c r="B98" s="41" t="s">
        <v>356</v>
      </c>
      <c r="C98" s="45"/>
      <c r="D98" s="16"/>
      <c r="E98" s="16">
        <v>2.2999999999999998</v>
      </c>
      <c r="F98" s="16">
        <f>0.6+0.6+0.3</f>
        <v>1.5</v>
      </c>
      <c r="G98" s="68">
        <f t="shared" si="23"/>
        <v>-0.79999999999999982</v>
      </c>
      <c r="H98" s="68">
        <f t="shared" si="24"/>
        <v>65.217391304347828</v>
      </c>
    </row>
    <row r="99" spans="1:8" ht="28.5" customHeight="1">
      <c r="A99" s="53"/>
      <c r="B99" s="41" t="s">
        <v>341</v>
      </c>
      <c r="C99" s="45"/>
      <c r="D99" s="16"/>
      <c r="E99" s="16">
        <v>2</v>
      </c>
      <c r="F99" s="16">
        <f>1.7+1.7+1+0.3</f>
        <v>4.7</v>
      </c>
      <c r="G99" s="68">
        <f t="shared" si="23"/>
        <v>2.7</v>
      </c>
      <c r="H99" s="68">
        <f t="shared" si="24"/>
        <v>235</v>
      </c>
    </row>
    <row r="100" spans="1:8" ht="26.25" customHeight="1">
      <c r="A100" s="53"/>
      <c r="B100" s="41" t="s">
        <v>175</v>
      </c>
      <c r="C100" s="45"/>
      <c r="D100" s="16"/>
      <c r="E100" s="16"/>
      <c r="F100" s="16">
        <f>0.2+3.7</f>
        <v>3.9000000000000004</v>
      </c>
      <c r="G100" s="68">
        <f t="shared" si="23"/>
        <v>3.9000000000000004</v>
      </c>
      <c r="H100" s="68"/>
    </row>
    <row r="101" spans="1:8" ht="27" customHeight="1">
      <c r="A101" s="53"/>
      <c r="B101" s="41" t="s">
        <v>397</v>
      </c>
      <c r="C101" s="45"/>
      <c r="D101" s="16">
        <v>73.900000000000006</v>
      </c>
      <c r="E101" s="16"/>
      <c r="F101" s="16">
        <f>0.7+3.7</f>
        <v>4.4000000000000004</v>
      </c>
      <c r="G101" s="68">
        <f t="shared" si="23"/>
        <v>4.4000000000000004</v>
      </c>
      <c r="H101" s="68"/>
    </row>
    <row r="102" spans="1:8" ht="27" customHeight="1">
      <c r="A102" s="53"/>
      <c r="B102" s="41" t="s">
        <v>369</v>
      </c>
      <c r="C102" s="45"/>
      <c r="D102" s="16"/>
      <c r="E102" s="16"/>
      <c r="F102" s="16">
        <v>1.7</v>
      </c>
      <c r="G102" s="68"/>
      <c r="H102" s="68"/>
    </row>
    <row r="103" spans="1:8" ht="27.75" customHeight="1">
      <c r="A103" s="53"/>
      <c r="B103" s="41" t="s">
        <v>357</v>
      </c>
      <c r="C103" s="45"/>
      <c r="D103" s="16">
        <v>19.600000000000001</v>
      </c>
      <c r="E103" s="86">
        <v>24</v>
      </c>
      <c r="F103" s="16">
        <v>23.9</v>
      </c>
      <c r="G103" s="68">
        <f t="shared" si="23"/>
        <v>-0.10000000000000142</v>
      </c>
      <c r="H103" s="68">
        <f t="shared" si="24"/>
        <v>99.583333333333329</v>
      </c>
    </row>
    <row r="104" spans="1:8" ht="26.25" customHeight="1">
      <c r="A104" s="72" t="s">
        <v>591</v>
      </c>
      <c r="B104" s="141" t="s">
        <v>91</v>
      </c>
      <c r="C104" s="69">
        <v>1030</v>
      </c>
      <c r="D104" s="107">
        <f>D105</f>
        <v>1.8000000000000003</v>
      </c>
      <c r="E104" s="107">
        <f t="shared" ref="E104:H104" si="25">E105</f>
        <v>113.4</v>
      </c>
      <c r="F104" s="107">
        <f t="shared" si="25"/>
        <v>99.7</v>
      </c>
      <c r="G104" s="107">
        <f t="shared" si="25"/>
        <v>-13.700000000000003</v>
      </c>
      <c r="H104" s="107">
        <f t="shared" si="25"/>
        <v>87.918871252204582</v>
      </c>
    </row>
    <row r="105" spans="1:8" ht="26.25" customHeight="1">
      <c r="A105" s="54" t="s">
        <v>592</v>
      </c>
      <c r="B105" s="57" t="s">
        <v>91</v>
      </c>
      <c r="C105" s="56">
        <v>1035</v>
      </c>
      <c r="D105" s="19">
        <f>SUM(D106:D111)</f>
        <v>1.8000000000000003</v>
      </c>
      <c r="E105" s="19">
        <f>SUM(E107:E111)</f>
        <v>113.4</v>
      </c>
      <c r="F105" s="19">
        <f>SUM(F106:F111)</f>
        <v>99.7</v>
      </c>
      <c r="G105" s="133">
        <f t="shared" ref="G105:G111" si="26">F105-E105</f>
        <v>-13.700000000000003</v>
      </c>
      <c r="H105" s="133">
        <f t="shared" ref="H105:H111" si="27">(F105/E105)*100</f>
        <v>87.918871252204582</v>
      </c>
    </row>
    <row r="106" spans="1:8" ht="26.25" customHeight="1">
      <c r="A106" s="52"/>
      <c r="B106" s="43" t="s">
        <v>536</v>
      </c>
      <c r="C106" s="77"/>
      <c r="D106" s="16">
        <v>0.4</v>
      </c>
      <c r="E106" s="16"/>
      <c r="F106" s="16">
        <f>7.5+0.2</f>
        <v>7.7</v>
      </c>
      <c r="G106" s="68">
        <f t="shared" si="26"/>
        <v>7.7</v>
      </c>
      <c r="H106" s="68"/>
    </row>
    <row r="107" spans="1:8" ht="26.25" customHeight="1">
      <c r="A107" s="54"/>
      <c r="B107" s="41" t="s">
        <v>360</v>
      </c>
      <c r="C107" s="40"/>
      <c r="D107" s="16"/>
      <c r="E107" s="16">
        <v>1.2</v>
      </c>
      <c r="F107" s="16">
        <f>1.2</f>
        <v>1.2</v>
      </c>
      <c r="G107" s="68">
        <f t="shared" si="26"/>
        <v>0</v>
      </c>
      <c r="H107" s="68">
        <f t="shared" si="27"/>
        <v>100</v>
      </c>
    </row>
    <row r="108" spans="1:8" ht="26.25" customHeight="1">
      <c r="A108" s="54"/>
      <c r="B108" s="41" t="s">
        <v>361</v>
      </c>
      <c r="C108" s="40"/>
      <c r="D108" s="16"/>
      <c r="E108" s="16">
        <v>111.2</v>
      </c>
      <c r="F108" s="16">
        <f>50.3+24.3+16.2</f>
        <v>90.8</v>
      </c>
      <c r="G108" s="68">
        <f t="shared" si="26"/>
        <v>-20.400000000000006</v>
      </c>
      <c r="H108" s="68">
        <f t="shared" si="27"/>
        <v>81.654676258992794</v>
      </c>
    </row>
    <row r="109" spans="1:8" ht="26.25" customHeight="1">
      <c r="A109" s="54"/>
      <c r="B109" s="41" t="s">
        <v>362</v>
      </c>
      <c r="C109" s="40"/>
      <c r="D109" s="16">
        <v>0.2</v>
      </c>
      <c r="E109" s="16">
        <v>0.7</v>
      </c>
      <c r="F109" s="16"/>
      <c r="G109" s="68">
        <f t="shared" si="26"/>
        <v>-0.7</v>
      </c>
      <c r="H109" s="68">
        <f t="shared" si="27"/>
        <v>0</v>
      </c>
    </row>
    <row r="110" spans="1:8" ht="26.25" customHeight="1">
      <c r="A110" s="54"/>
      <c r="B110" s="41" t="s">
        <v>442</v>
      </c>
      <c r="C110" s="40"/>
      <c r="D110" s="16">
        <v>0.6</v>
      </c>
      <c r="E110" s="16"/>
      <c r="F110" s="16"/>
      <c r="G110" s="68"/>
      <c r="H110" s="68"/>
    </row>
    <row r="111" spans="1:8" ht="26.25" customHeight="1">
      <c r="A111" s="54"/>
      <c r="B111" s="41" t="s">
        <v>43</v>
      </c>
      <c r="C111" s="40"/>
      <c r="D111" s="16">
        <v>0.6</v>
      </c>
      <c r="E111" s="16">
        <v>0.3</v>
      </c>
      <c r="F111" s="16"/>
      <c r="G111" s="68">
        <f t="shared" si="26"/>
        <v>-0.3</v>
      </c>
      <c r="H111" s="68">
        <f t="shared" si="27"/>
        <v>0</v>
      </c>
    </row>
    <row r="112" spans="1:8" ht="26.25" customHeight="1">
      <c r="A112" s="52" t="s">
        <v>101</v>
      </c>
      <c r="B112" s="361" t="s">
        <v>174</v>
      </c>
      <c r="C112" s="362"/>
      <c r="D112" s="15">
        <f>D114+D136</f>
        <v>467.69999999999993</v>
      </c>
      <c r="E112" s="15">
        <f>E114+E136</f>
        <v>472.00000000000006</v>
      </c>
      <c r="F112" s="15">
        <f>F114+F136</f>
        <v>349.7</v>
      </c>
      <c r="G112" s="66">
        <f>F112-E112</f>
        <v>-122.30000000000007</v>
      </c>
      <c r="H112" s="66">
        <f>F112/E112*100</f>
        <v>74.088983050847446</v>
      </c>
    </row>
    <row r="113" spans="1:8" ht="26.25" customHeight="1">
      <c r="A113" s="53"/>
      <c r="B113" s="43" t="s">
        <v>84</v>
      </c>
      <c r="C113" s="45"/>
      <c r="D113" s="16"/>
      <c r="E113" s="16"/>
      <c r="F113" s="16"/>
      <c r="G113" s="68"/>
      <c r="H113" s="68"/>
    </row>
    <row r="114" spans="1:8" ht="26.25" customHeight="1">
      <c r="A114" s="72" t="s">
        <v>593</v>
      </c>
      <c r="B114" s="138" t="s">
        <v>88</v>
      </c>
      <c r="C114" s="142">
        <v>1010</v>
      </c>
      <c r="D114" s="107">
        <f>D123+D115</f>
        <v>467.69999999999993</v>
      </c>
      <c r="E114" s="107">
        <f>E115+E123</f>
        <v>468.70000000000005</v>
      </c>
      <c r="F114" s="107">
        <f>F115+F123+F121+F122</f>
        <v>345.8</v>
      </c>
      <c r="G114" s="136">
        <f t="shared" ref="G114:G139" si="28">F114-E114</f>
        <v>-122.90000000000003</v>
      </c>
      <c r="H114" s="136">
        <f t="shared" ref="H114:H139" si="29">(F114/E114)*100</f>
        <v>73.77853637721357</v>
      </c>
    </row>
    <row r="115" spans="1:8" ht="26.25" customHeight="1">
      <c r="A115" s="54" t="s">
        <v>594</v>
      </c>
      <c r="B115" s="55" t="s">
        <v>105</v>
      </c>
      <c r="C115" s="56">
        <v>1011</v>
      </c>
      <c r="D115" s="19">
        <f>SUM(D116:D120)</f>
        <v>159.4</v>
      </c>
      <c r="E115" s="19">
        <f t="shared" ref="E115:G115" si="30">SUM(E116:E120)</f>
        <v>363.1</v>
      </c>
      <c r="F115" s="19">
        <f t="shared" si="30"/>
        <v>250.3</v>
      </c>
      <c r="G115" s="19">
        <f t="shared" si="30"/>
        <v>-112.79999999999998</v>
      </c>
      <c r="H115" s="133">
        <f t="shared" si="29"/>
        <v>68.934177912420822</v>
      </c>
    </row>
    <row r="116" spans="1:8" ht="26.25" customHeight="1">
      <c r="A116" s="54"/>
      <c r="B116" s="41" t="s">
        <v>135</v>
      </c>
      <c r="C116" s="56"/>
      <c r="D116" s="16"/>
      <c r="E116" s="16">
        <v>7.4</v>
      </c>
      <c r="F116" s="16">
        <f>2.4+47.5</f>
        <v>49.9</v>
      </c>
      <c r="G116" s="68">
        <f t="shared" si="28"/>
        <v>42.5</v>
      </c>
      <c r="H116" s="68">
        <f t="shared" si="29"/>
        <v>674.32432432432427</v>
      </c>
    </row>
    <row r="117" spans="1:8" ht="26.25" customHeight="1">
      <c r="A117" s="54"/>
      <c r="B117" s="41" t="s">
        <v>142</v>
      </c>
      <c r="C117" s="56"/>
      <c r="D117" s="16">
        <v>155.4</v>
      </c>
      <c r="E117" s="16">
        <v>218.6</v>
      </c>
      <c r="F117" s="16">
        <f>95.1+38.7</f>
        <v>133.80000000000001</v>
      </c>
      <c r="G117" s="68">
        <f t="shared" si="28"/>
        <v>-84.799999999999983</v>
      </c>
      <c r="H117" s="68">
        <f t="shared" si="29"/>
        <v>61.207685269899372</v>
      </c>
    </row>
    <row r="118" spans="1:8" ht="26.25" customHeight="1">
      <c r="A118" s="54"/>
      <c r="B118" s="41" t="s">
        <v>328</v>
      </c>
      <c r="C118" s="56"/>
      <c r="D118" s="16">
        <v>0.2</v>
      </c>
      <c r="E118" s="16">
        <v>78.5</v>
      </c>
      <c r="F118" s="16">
        <f>4.6+1.2+5.8</f>
        <v>11.6</v>
      </c>
      <c r="G118" s="68">
        <f t="shared" si="28"/>
        <v>-66.900000000000006</v>
      </c>
      <c r="H118" s="68">
        <f t="shared" si="29"/>
        <v>14.777070063694268</v>
      </c>
    </row>
    <row r="119" spans="1:8" ht="41.25" customHeight="1">
      <c r="A119" s="54"/>
      <c r="B119" s="41" t="s">
        <v>145</v>
      </c>
      <c r="C119" s="56"/>
      <c r="D119" s="16">
        <v>3.8</v>
      </c>
      <c r="E119" s="16">
        <v>42.6</v>
      </c>
      <c r="F119" s="16">
        <f>1+1.2</f>
        <v>2.2000000000000002</v>
      </c>
      <c r="G119" s="68">
        <f t="shared" si="28"/>
        <v>-40.4</v>
      </c>
      <c r="H119" s="68">
        <f t="shared" si="29"/>
        <v>5.164319248826291</v>
      </c>
    </row>
    <row r="120" spans="1:8" ht="24" customHeight="1">
      <c r="A120" s="54"/>
      <c r="B120" s="41" t="s">
        <v>407</v>
      </c>
      <c r="C120" s="56"/>
      <c r="D120" s="16"/>
      <c r="E120" s="16">
        <v>16</v>
      </c>
      <c r="F120" s="16">
        <f>93.4-6.7-33.9</f>
        <v>52.800000000000004</v>
      </c>
      <c r="G120" s="68">
        <f t="shared" si="28"/>
        <v>36.800000000000004</v>
      </c>
      <c r="H120" s="68">
        <f t="shared" si="29"/>
        <v>330</v>
      </c>
    </row>
    <row r="121" spans="1:8" ht="24" customHeight="1">
      <c r="A121" s="54"/>
      <c r="B121" s="55" t="s">
        <v>2</v>
      </c>
      <c r="C121" s="94">
        <v>1012</v>
      </c>
      <c r="D121" s="16"/>
      <c r="E121" s="16"/>
      <c r="F121" s="263">
        <v>27.9</v>
      </c>
      <c r="G121" s="133">
        <f t="shared" ref="G121:G122" si="31">F121-E121</f>
        <v>27.9</v>
      </c>
      <c r="H121" s="68" t="e">
        <f t="shared" ref="H121:H122" si="32">(F121/E121)*100</f>
        <v>#DIV/0!</v>
      </c>
    </row>
    <row r="122" spans="1:8" ht="24" customHeight="1">
      <c r="A122" s="54"/>
      <c r="B122" s="55" t="s">
        <v>3</v>
      </c>
      <c r="C122" s="94">
        <v>1013</v>
      </c>
      <c r="D122" s="16"/>
      <c r="E122" s="16"/>
      <c r="F122" s="263">
        <v>6.1</v>
      </c>
      <c r="G122" s="133">
        <f t="shared" si="31"/>
        <v>6.1</v>
      </c>
      <c r="H122" s="68" t="e">
        <f t="shared" si="32"/>
        <v>#DIV/0!</v>
      </c>
    </row>
    <row r="123" spans="1:8" ht="26.25" customHeight="1">
      <c r="A123" s="54" t="s">
        <v>440</v>
      </c>
      <c r="B123" s="67" t="s">
        <v>152</v>
      </c>
      <c r="C123" s="44">
        <v>1015</v>
      </c>
      <c r="D123" s="19">
        <f>SUM(D124:D135)</f>
        <v>308.29999999999995</v>
      </c>
      <c r="E123" s="19">
        <f>SUM(E124:E135)</f>
        <v>105.60000000000001</v>
      </c>
      <c r="F123" s="19">
        <f>SUM(F124:F135)</f>
        <v>61.5</v>
      </c>
      <c r="G123" s="133">
        <f t="shared" si="28"/>
        <v>-44.100000000000009</v>
      </c>
      <c r="H123" s="133">
        <f t="shared" si="29"/>
        <v>58.238636363636353</v>
      </c>
    </row>
    <row r="124" spans="1:8" ht="26.25" customHeight="1">
      <c r="A124" s="52"/>
      <c r="B124" s="49" t="s">
        <v>346</v>
      </c>
      <c r="C124" s="64"/>
      <c r="D124" s="16">
        <v>1.5</v>
      </c>
      <c r="E124" s="16">
        <v>0.4</v>
      </c>
      <c r="F124" s="16">
        <f>0.2+0.2</f>
        <v>0.4</v>
      </c>
      <c r="G124" s="68">
        <f t="shared" si="28"/>
        <v>0</v>
      </c>
      <c r="H124" s="68">
        <f t="shared" si="29"/>
        <v>100</v>
      </c>
    </row>
    <row r="125" spans="1:8" ht="26.25" customHeight="1">
      <c r="A125" s="52"/>
      <c r="B125" s="49" t="s">
        <v>322</v>
      </c>
      <c r="C125" s="64"/>
      <c r="D125" s="16">
        <v>2.8</v>
      </c>
      <c r="E125" s="16">
        <v>1.5</v>
      </c>
      <c r="F125" s="16">
        <f>1.5</f>
        <v>1.5</v>
      </c>
      <c r="G125" s="68">
        <f t="shared" si="28"/>
        <v>0</v>
      </c>
      <c r="H125" s="68">
        <f t="shared" si="29"/>
        <v>100</v>
      </c>
    </row>
    <row r="126" spans="1:8" ht="26.25" customHeight="1">
      <c r="A126" s="52"/>
      <c r="B126" s="49" t="s">
        <v>323</v>
      </c>
      <c r="C126" s="64"/>
      <c r="D126" s="16">
        <v>5.0999999999999996</v>
      </c>
      <c r="E126" s="16">
        <v>8.4</v>
      </c>
      <c r="F126" s="16">
        <f>5.4+6.6+5</f>
        <v>17</v>
      </c>
      <c r="G126" s="68">
        <f t="shared" si="28"/>
        <v>8.6</v>
      </c>
      <c r="H126" s="68">
        <f t="shared" si="29"/>
        <v>202.38095238095238</v>
      </c>
    </row>
    <row r="127" spans="1:8" ht="26.25" customHeight="1">
      <c r="A127" s="52"/>
      <c r="B127" s="49" t="s">
        <v>345</v>
      </c>
      <c r="C127" s="64"/>
      <c r="D127" s="16"/>
      <c r="E127" s="16">
        <v>1.7</v>
      </c>
      <c r="F127" s="16"/>
      <c r="G127" s="68">
        <f t="shared" si="28"/>
        <v>-1.7</v>
      </c>
      <c r="H127" s="68">
        <f t="shared" si="29"/>
        <v>0</v>
      </c>
    </row>
    <row r="128" spans="1:8" ht="26.25" customHeight="1">
      <c r="A128" s="52"/>
      <c r="B128" s="49" t="s">
        <v>347</v>
      </c>
      <c r="C128" s="64"/>
      <c r="D128" s="16"/>
      <c r="E128" s="16">
        <v>4.5</v>
      </c>
      <c r="F128" s="16">
        <v>0.4</v>
      </c>
      <c r="G128" s="68">
        <f t="shared" si="28"/>
        <v>-4.0999999999999996</v>
      </c>
      <c r="H128" s="68">
        <f t="shared" si="29"/>
        <v>8.8888888888888893</v>
      </c>
    </row>
    <row r="129" spans="1:8" ht="26.25" customHeight="1">
      <c r="A129" s="52"/>
      <c r="B129" s="49" t="s">
        <v>164</v>
      </c>
      <c r="C129" s="64"/>
      <c r="D129" s="16"/>
      <c r="E129" s="16">
        <v>12.8</v>
      </c>
      <c r="F129" s="16">
        <v>20.8</v>
      </c>
      <c r="G129" s="68">
        <f t="shared" si="28"/>
        <v>8</v>
      </c>
      <c r="H129" s="68">
        <f t="shared" si="29"/>
        <v>162.5</v>
      </c>
    </row>
    <row r="130" spans="1:8" ht="26.25" customHeight="1">
      <c r="A130" s="52"/>
      <c r="B130" s="49" t="s">
        <v>162</v>
      </c>
      <c r="C130" s="64"/>
      <c r="D130" s="16"/>
      <c r="E130" s="16">
        <v>1.1000000000000001</v>
      </c>
      <c r="F130" s="16">
        <f>0.7+1.2+1.5</f>
        <v>3.4</v>
      </c>
      <c r="G130" s="68">
        <f t="shared" si="28"/>
        <v>2.2999999999999998</v>
      </c>
      <c r="H130" s="68">
        <f t="shared" si="29"/>
        <v>309.09090909090907</v>
      </c>
    </row>
    <row r="131" spans="1:8" ht="26.25" customHeight="1">
      <c r="A131" s="52"/>
      <c r="B131" s="49" t="s">
        <v>163</v>
      </c>
      <c r="C131" s="64"/>
      <c r="D131" s="16"/>
      <c r="E131" s="16">
        <v>67</v>
      </c>
      <c r="F131" s="16"/>
      <c r="G131" s="68">
        <f t="shared" si="28"/>
        <v>-67</v>
      </c>
      <c r="H131" s="68">
        <f t="shared" si="29"/>
        <v>0</v>
      </c>
    </row>
    <row r="132" spans="1:8" ht="26.25" customHeight="1">
      <c r="A132" s="52"/>
      <c r="B132" s="49" t="s">
        <v>178</v>
      </c>
      <c r="C132" s="64"/>
      <c r="D132" s="16">
        <v>8.4</v>
      </c>
      <c r="E132" s="16"/>
      <c r="F132" s="16"/>
      <c r="G132" s="68"/>
      <c r="H132" s="68"/>
    </row>
    <row r="133" spans="1:8" ht="26.25" customHeight="1">
      <c r="A133" s="52"/>
      <c r="B133" s="49" t="s">
        <v>177</v>
      </c>
      <c r="C133" s="64"/>
      <c r="D133" s="16">
        <v>1.1000000000000001</v>
      </c>
      <c r="E133" s="16"/>
      <c r="F133" s="16"/>
      <c r="G133" s="68"/>
      <c r="H133" s="68"/>
    </row>
    <row r="134" spans="1:8" ht="26.25" customHeight="1">
      <c r="A134" s="53"/>
      <c r="B134" s="43" t="s">
        <v>148</v>
      </c>
      <c r="C134" s="45"/>
      <c r="D134" s="16">
        <v>288.5</v>
      </c>
      <c r="E134" s="16">
        <v>8.1999999999999993</v>
      </c>
      <c r="F134" s="16">
        <f>60.1-15.2-26.9</f>
        <v>18.000000000000007</v>
      </c>
      <c r="G134" s="68">
        <f t="shared" si="28"/>
        <v>9.8000000000000078</v>
      </c>
      <c r="H134" s="68">
        <f t="shared" si="29"/>
        <v>219.51219512195132</v>
      </c>
    </row>
    <row r="135" spans="1:8" ht="26.25" customHeight="1">
      <c r="A135" s="53"/>
      <c r="B135" s="43" t="s">
        <v>443</v>
      </c>
      <c r="C135" s="45"/>
      <c r="D135" s="16">
        <v>0.9</v>
      </c>
      <c r="E135" s="16"/>
      <c r="F135" s="16"/>
      <c r="G135" s="68"/>
      <c r="H135" s="68"/>
    </row>
    <row r="136" spans="1:8" ht="26.25" customHeight="1">
      <c r="A136" s="72" t="s">
        <v>595</v>
      </c>
      <c r="B136" s="141" t="s">
        <v>91</v>
      </c>
      <c r="C136" s="142">
        <v>1030</v>
      </c>
      <c r="D136" s="107">
        <f t="shared" ref="D136:F136" si="33">SUM(D137:D137)</f>
        <v>0</v>
      </c>
      <c r="E136" s="107">
        <f t="shared" si="33"/>
        <v>3.3</v>
      </c>
      <c r="F136" s="107">
        <f t="shared" si="33"/>
        <v>3.9</v>
      </c>
      <c r="G136" s="136">
        <f t="shared" si="28"/>
        <v>0.60000000000000009</v>
      </c>
      <c r="H136" s="136">
        <f t="shared" si="29"/>
        <v>118.18181818181819</v>
      </c>
    </row>
    <row r="137" spans="1:8" ht="26.25" customHeight="1">
      <c r="A137" s="54" t="s">
        <v>430</v>
      </c>
      <c r="B137" s="57" t="s">
        <v>91</v>
      </c>
      <c r="C137" s="56">
        <v>1035</v>
      </c>
      <c r="D137" s="19">
        <f>SUM(D139:D139)</f>
        <v>0</v>
      </c>
      <c r="E137" s="19">
        <f>SUM(E139:E139)</f>
        <v>3.3</v>
      </c>
      <c r="F137" s="19">
        <f>SUM(F138:F139)</f>
        <v>3.9</v>
      </c>
      <c r="G137" s="133">
        <f t="shared" si="28"/>
        <v>0.60000000000000009</v>
      </c>
      <c r="H137" s="133">
        <f t="shared" si="29"/>
        <v>118.18181818181819</v>
      </c>
    </row>
    <row r="138" spans="1:8" ht="26.25" customHeight="1">
      <c r="A138" s="54"/>
      <c r="B138" s="49" t="s">
        <v>369</v>
      </c>
      <c r="C138" s="56"/>
      <c r="D138" s="19"/>
      <c r="E138" s="19"/>
      <c r="F138" s="19">
        <v>0.6</v>
      </c>
      <c r="G138" s="133"/>
      <c r="H138" s="133"/>
    </row>
    <row r="139" spans="1:8" ht="26.25" customHeight="1">
      <c r="A139" s="53"/>
      <c r="B139" s="341" t="s">
        <v>348</v>
      </c>
      <c r="C139" s="51"/>
      <c r="D139" s="16"/>
      <c r="E139" s="16">
        <v>3.3</v>
      </c>
      <c r="F139" s="16">
        <v>3.3</v>
      </c>
      <c r="G139" s="68">
        <f t="shared" si="28"/>
        <v>0</v>
      </c>
      <c r="H139" s="68">
        <f t="shared" si="29"/>
        <v>100</v>
      </c>
    </row>
    <row r="140" spans="1:8" ht="39.75" customHeight="1">
      <c r="A140" s="52" t="s">
        <v>103</v>
      </c>
      <c r="B140" s="361" t="s">
        <v>371</v>
      </c>
      <c r="C140" s="360"/>
      <c r="D140" s="15">
        <f>D142+D150+D159</f>
        <v>158.20000000000002</v>
      </c>
      <c r="E140" s="15">
        <f>E142+E150+E159</f>
        <v>542.40000000000009</v>
      </c>
      <c r="F140" s="15">
        <f>F142+F150+F159</f>
        <v>106.10000000000001</v>
      </c>
      <c r="G140" s="66">
        <f>F140-E140</f>
        <v>-436.30000000000007</v>
      </c>
      <c r="H140" s="66">
        <f>F140/E140*100</f>
        <v>19.561209439528021</v>
      </c>
    </row>
    <row r="141" spans="1:8" ht="26.25" customHeight="1">
      <c r="A141" s="54"/>
      <c r="B141" s="57" t="s">
        <v>84</v>
      </c>
      <c r="C141" s="47"/>
      <c r="D141" s="16"/>
      <c r="E141" s="16"/>
      <c r="F141" s="16"/>
      <c r="G141" s="68"/>
      <c r="H141" s="68"/>
    </row>
    <row r="142" spans="1:8" ht="26.25" customHeight="1">
      <c r="A142" s="72" t="s">
        <v>596</v>
      </c>
      <c r="B142" s="141" t="s">
        <v>88</v>
      </c>
      <c r="C142" s="69">
        <v>1010</v>
      </c>
      <c r="D142" s="107">
        <f>D143+D148</f>
        <v>158.20000000000002</v>
      </c>
      <c r="E142" s="107">
        <f>E143+E148</f>
        <v>357.70000000000005</v>
      </c>
      <c r="F142" s="107">
        <f>F143+F148</f>
        <v>49.6</v>
      </c>
      <c r="G142" s="136">
        <f t="shared" ref="G142:G163" si="34">F142-E142</f>
        <v>-308.10000000000002</v>
      </c>
      <c r="H142" s="136">
        <f t="shared" ref="H142:H163" si="35">(F142/E142)*100</f>
        <v>13.866368465194295</v>
      </c>
    </row>
    <row r="143" spans="1:8" ht="26.25" customHeight="1">
      <c r="A143" s="54" t="s">
        <v>597</v>
      </c>
      <c r="B143" s="132" t="s">
        <v>105</v>
      </c>
      <c r="C143" s="56">
        <v>1011</v>
      </c>
      <c r="D143" s="19">
        <f>SUM(D144:D147)</f>
        <v>158.20000000000002</v>
      </c>
      <c r="E143" s="19">
        <f>SUM(E144:E147)</f>
        <v>325.00000000000006</v>
      </c>
      <c r="F143" s="19">
        <f>SUM(F144:F147)</f>
        <v>49.6</v>
      </c>
      <c r="G143" s="133">
        <f t="shared" si="34"/>
        <v>-275.40000000000003</v>
      </c>
      <c r="H143" s="133">
        <f t="shared" si="35"/>
        <v>15.261538461538461</v>
      </c>
    </row>
    <row r="144" spans="1:8" ht="26.25" customHeight="1">
      <c r="A144" s="54"/>
      <c r="B144" s="43" t="s">
        <v>135</v>
      </c>
      <c r="C144" s="45"/>
      <c r="D144" s="16"/>
      <c r="E144" s="16">
        <v>120</v>
      </c>
      <c r="F144" s="16"/>
      <c r="G144" s="68">
        <f t="shared" si="34"/>
        <v>-120</v>
      </c>
      <c r="H144" s="68">
        <f t="shared" si="35"/>
        <v>0</v>
      </c>
    </row>
    <row r="145" spans="1:11" ht="26.25" customHeight="1">
      <c r="A145" s="54"/>
      <c r="B145" s="43" t="s">
        <v>349</v>
      </c>
      <c r="C145" s="45"/>
      <c r="D145" s="16">
        <v>26.8</v>
      </c>
      <c r="E145" s="16">
        <v>19.3</v>
      </c>
      <c r="F145" s="16"/>
      <c r="G145" s="68">
        <f t="shared" si="34"/>
        <v>-19.3</v>
      </c>
      <c r="H145" s="68">
        <f t="shared" si="35"/>
        <v>0</v>
      </c>
      <c r="K145" s="18" t="s">
        <v>577</v>
      </c>
    </row>
    <row r="146" spans="1:11" ht="41.25" customHeight="1">
      <c r="A146" s="54"/>
      <c r="B146" s="49" t="s">
        <v>145</v>
      </c>
      <c r="C146" s="45"/>
      <c r="D146" s="16">
        <v>131.4</v>
      </c>
      <c r="E146" s="16">
        <v>147.4</v>
      </c>
      <c r="F146" s="16">
        <f>11.1-7.7+39.5</f>
        <v>42.9</v>
      </c>
      <c r="G146" s="68">
        <f t="shared" si="34"/>
        <v>-104.5</v>
      </c>
      <c r="H146" s="68">
        <f t="shared" si="35"/>
        <v>29.104477611940293</v>
      </c>
    </row>
    <row r="147" spans="1:11" ht="26.25" customHeight="1">
      <c r="A147" s="54"/>
      <c r="B147" s="49" t="s">
        <v>407</v>
      </c>
      <c r="C147" s="45"/>
      <c r="D147" s="16"/>
      <c r="E147" s="16">
        <v>38.299999999999997</v>
      </c>
      <c r="F147" s="16">
        <v>6.7</v>
      </c>
      <c r="G147" s="68">
        <f t="shared" si="34"/>
        <v>-31.599999999999998</v>
      </c>
      <c r="H147" s="68">
        <f t="shared" si="35"/>
        <v>17.493472584856399</v>
      </c>
    </row>
    <row r="148" spans="1:11" ht="26.25" customHeight="1">
      <c r="A148" s="54" t="s">
        <v>598</v>
      </c>
      <c r="B148" s="67" t="s">
        <v>152</v>
      </c>
      <c r="C148" s="44">
        <v>1015</v>
      </c>
      <c r="D148" s="19">
        <f>SUM(D149:D149)</f>
        <v>0</v>
      </c>
      <c r="E148" s="19">
        <f>SUM(E149:E149)</f>
        <v>32.700000000000003</v>
      </c>
      <c r="F148" s="19">
        <f>SUM(F149:F149)</f>
        <v>0</v>
      </c>
      <c r="G148" s="133">
        <f t="shared" si="34"/>
        <v>-32.700000000000003</v>
      </c>
      <c r="H148" s="133">
        <f t="shared" si="35"/>
        <v>0</v>
      </c>
    </row>
    <row r="149" spans="1:11" ht="26.25" customHeight="1">
      <c r="A149" s="54"/>
      <c r="B149" s="43" t="s">
        <v>148</v>
      </c>
      <c r="C149" s="45"/>
      <c r="D149" s="16"/>
      <c r="E149" s="16">
        <v>32.700000000000003</v>
      </c>
      <c r="F149" s="16"/>
      <c r="G149" s="68">
        <f t="shared" si="34"/>
        <v>-32.700000000000003</v>
      </c>
      <c r="H149" s="68"/>
    </row>
    <row r="150" spans="1:11" ht="26.25" customHeight="1">
      <c r="A150" s="72" t="s">
        <v>599</v>
      </c>
      <c r="B150" s="141" t="s">
        <v>90</v>
      </c>
      <c r="C150" s="69">
        <v>1020</v>
      </c>
      <c r="D150" s="107">
        <f>D151</f>
        <v>0</v>
      </c>
      <c r="E150" s="107">
        <f>E151</f>
        <v>62.699999999999996</v>
      </c>
      <c r="F150" s="107">
        <f>F151</f>
        <v>54.6</v>
      </c>
      <c r="G150" s="136">
        <f t="shared" si="34"/>
        <v>-8.0999999999999943</v>
      </c>
      <c r="H150" s="136">
        <f t="shared" si="35"/>
        <v>87.081339712918677</v>
      </c>
    </row>
    <row r="151" spans="1:11" ht="26.25" customHeight="1">
      <c r="A151" s="54" t="s">
        <v>600</v>
      </c>
      <c r="B151" s="140" t="s">
        <v>141</v>
      </c>
      <c r="C151" s="144">
        <v>1025</v>
      </c>
      <c r="D151" s="19">
        <f>SUM(D152:D158)</f>
        <v>0</v>
      </c>
      <c r="E151" s="19">
        <f>SUM(E152:E158)</f>
        <v>62.699999999999996</v>
      </c>
      <c r="F151" s="19">
        <f>SUM(F152:F158)</f>
        <v>54.6</v>
      </c>
      <c r="G151" s="133">
        <f t="shared" si="34"/>
        <v>-8.0999999999999943</v>
      </c>
      <c r="H151" s="133">
        <f t="shared" si="35"/>
        <v>87.081339712918677</v>
      </c>
    </row>
    <row r="152" spans="1:11" ht="26.25" customHeight="1">
      <c r="A152" s="54"/>
      <c r="B152" s="41" t="s">
        <v>324</v>
      </c>
      <c r="C152" s="51"/>
      <c r="D152" s="16"/>
      <c r="E152" s="16">
        <v>4</v>
      </c>
      <c r="F152" s="16"/>
      <c r="G152" s="68">
        <f t="shared" si="34"/>
        <v>-4</v>
      </c>
      <c r="H152" s="68"/>
    </row>
    <row r="153" spans="1:11" ht="26.25" customHeight="1">
      <c r="A153" s="54"/>
      <c r="B153" s="41" t="s">
        <v>163</v>
      </c>
      <c r="C153" s="51"/>
      <c r="D153" s="16"/>
      <c r="E153" s="16"/>
      <c r="F153" s="16">
        <v>3.1</v>
      </c>
      <c r="G153" s="68">
        <f t="shared" si="34"/>
        <v>3.1</v>
      </c>
      <c r="H153" s="68"/>
    </row>
    <row r="154" spans="1:11" ht="26.25" customHeight="1">
      <c r="A154" s="54"/>
      <c r="B154" s="41" t="s">
        <v>350</v>
      </c>
      <c r="C154" s="51"/>
      <c r="D154" s="16"/>
      <c r="E154" s="16">
        <v>6.2</v>
      </c>
      <c r="F154" s="16">
        <f>3.6+5</f>
        <v>8.6</v>
      </c>
      <c r="G154" s="68">
        <f t="shared" si="34"/>
        <v>2.3999999999999995</v>
      </c>
      <c r="H154" s="68">
        <f t="shared" si="35"/>
        <v>138.70967741935482</v>
      </c>
    </row>
    <row r="155" spans="1:11" ht="26.25" customHeight="1">
      <c r="A155" s="54"/>
      <c r="B155" s="41" t="s">
        <v>153</v>
      </c>
      <c r="C155" s="51"/>
      <c r="D155" s="16"/>
      <c r="E155" s="16">
        <v>32.4</v>
      </c>
      <c r="F155" s="16">
        <f>12.4+10.1</f>
        <v>22.5</v>
      </c>
      <c r="G155" s="68">
        <f t="shared" si="34"/>
        <v>-9.8999999999999986</v>
      </c>
      <c r="H155" s="68">
        <f t="shared" si="35"/>
        <v>69.444444444444443</v>
      </c>
    </row>
    <row r="156" spans="1:11" ht="26.25" customHeight="1">
      <c r="A156" s="54"/>
      <c r="B156" s="42" t="s">
        <v>354</v>
      </c>
      <c r="C156" s="51"/>
      <c r="D156" s="16"/>
      <c r="E156" s="16"/>
      <c r="F156" s="16">
        <f>1.1+0.6+0.6</f>
        <v>2.3000000000000003</v>
      </c>
      <c r="G156" s="68">
        <f t="shared" si="34"/>
        <v>2.3000000000000003</v>
      </c>
      <c r="H156" s="68"/>
    </row>
    <row r="157" spans="1:11" ht="36" customHeight="1">
      <c r="A157" s="54"/>
      <c r="B157" s="341" t="s">
        <v>352</v>
      </c>
      <c r="C157" s="51"/>
      <c r="D157" s="16"/>
      <c r="E157" s="16">
        <v>16.7</v>
      </c>
      <c r="F157" s="16">
        <v>16.7</v>
      </c>
      <c r="G157" s="68">
        <f t="shared" si="34"/>
        <v>0</v>
      </c>
      <c r="H157" s="68">
        <f t="shared" si="35"/>
        <v>100</v>
      </c>
    </row>
    <row r="158" spans="1:11" ht="26.25" customHeight="1">
      <c r="A158" s="54"/>
      <c r="B158" s="341" t="s">
        <v>351</v>
      </c>
      <c r="C158" s="51"/>
      <c r="D158" s="16"/>
      <c r="E158" s="16">
        <v>3.4</v>
      </c>
      <c r="F158" s="16">
        <f>1.4</f>
        <v>1.4</v>
      </c>
      <c r="G158" s="68">
        <f t="shared" si="34"/>
        <v>-2</v>
      </c>
      <c r="H158" s="68">
        <f t="shared" si="35"/>
        <v>41.17647058823529</v>
      </c>
    </row>
    <row r="159" spans="1:11" ht="26.25" customHeight="1">
      <c r="A159" s="72" t="s">
        <v>601</v>
      </c>
      <c r="B159" s="141" t="s">
        <v>91</v>
      </c>
      <c r="C159" s="69">
        <v>1030</v>
      </c>
      <c r="D159" s="107">
        <f>D160</f>
        <v>0</v>
      </c>
      <c r="E159" s="107">
        <f>E160</f>
        <v>122</v>
      </c>
      <c r="F159" s="107">
        <f>F160</f>
        <v>1.9000000000000001</v>
      </c>
      <c r="G159" s="136">
        <f t="shared" si="34"/>
        <v>-120.1</v>
      </c>
      <c r="H159" s="136">
        <f t="shared" si="35"/>
        <v>1.557377049180328</v>
      </c>
    </row>
    <row r="160" spans="1:11" ht="26.25" customHeight="1">
      <c r="A160" s="54" t="s">
        <v>602</v>
      </c>
      <c r="B160" s="57" t="s">
        <v>91</v>
      </c>
      <c r="C160" s="144">
        <v>1035</v>
      </c>
      <c r="D160" s="19">
        <f>SUM(D161:D161)</f>
        <v>0</v>
      </c>
      <c r="E160" s="19">
        <f>SUM(E161:E163)</f>
        <v>122</v>
      </c>
      <c r="F160" s="19">
        <f>SUM(F161:F163)</f>
        <v>1.9000000000000001</v>
      </c>
      <c r="G160" s="133">
        <f t="shared" si="34"/>
        <v>-120.1</v>
      </c>
      <c r="H160" s="133">
        <f t="shared" si="35"/>
        <v>1.557377049180328</v>
      </c>
    </row>
    <row r="161" spans="1:8" ht="26.25" customHeight="1">
      <c r="A161" s="54"/>
      <c r="B161" s="41" t="s">
        <v>171</v>
      </c>
      <c r="C161" s="51"/>
      <c r="D161" s="16"/>
      <c r="E161" s="16"/>
      <c r="F161" s="16">
        <f>0.3</f>
        <v>0.3</v>
      </c>
      <c r="G161" s="68">
        <f t="shared" si="34"/>
        <v>0.3</v>
      </c>
      <c r="H161" s="68"/>
    </row>
    <row r="162" spans="1:8" ht="26.25" customHeight="1">
      <c r="A162" s="54"/>
      <c r="B162" s="41" t="s">
        <v>358</v>
      </c>
      <c r="C162" s="51"/>
      <c r="D162" s="16"/>
      <c r="E162" s="16">
        <v>120.4</v>
      </c>
      <c r="F162" s="16"/>
      <c r="G162" s="68">
        <f t="shared" si="34"/>
        <v>-120.4</v>
      </c>
      <c r="H162" s="68">
        <f t="shared" si="35"/>
        <v>0</v>
      </c>
    </row>
    <row r="163" spans="1:8" ht="26.25" customHeight="1">
      <c r="A163" s="54"/>
      <c r="B163" s="41" t="s">
        <v>359</v>
      </c>
      <c r="C163" s="51"/>
      <c r="D163" s="16"/>
      <c r="E163" s="16">
        <v>1.6</v>
      </c>
      <c r="F163" s="16">
        <f>1.6</f>
        <v>1.6</v>
      </c>
      <c r="G163" s="68">
        <f t="shared" si="34"/>
        <v>0</v>
      </c>
      <c r="H163" s="68">
        <f t="shared" si="35"/>
        <v>100</v>
      </c>
    </row>
    <row r="164" spans="1:8" ht="26.25" customHeight="1">
      <c r="A164" s="52" t="s">
        <v>104</v>
      </c>
      <c r="B164" s="363" t="s">
        <v>102</v>
      </c>
      <c r="C164" s="64"/>
      <c r="D164" s="15">
        <f>D166+D181+D188</f>
        <v>12954.4</v>
      </c>
      <c r="E164" s="15">
        <f>E166+E181+E188</f>
        <v>0</v>
      </c>
      <c r="F164" s="15">
        <f>F166+F181+F188</f>
        <v>0</v>
      </c>
      <c r="G164" s="66">
        <f>F164-E164</f>
        <v>0</v>
      </c>
      <c r="H164" s="66"/>
    </row>
    <row r="165" spans="1:8" ht="26.25" customHeight="1">
      <c r="A165" s="54"/>
      <c r="B165" s="57" t="s">
        <v>84</v>
      </c>
      <c r="C165" s="47"/>
      <c r="D165" s="16"/>
      <c r="E165" s="16"/>
      <c r="F165" s="16"/>
      <c r="G165" s="66"/>
      <c r="H165" s="66"/>
    </row>
    <row r="166" spans="1:8" ht="26.25" customHeight="1">
      <c r="A166" s="72" t="s">
        <v>603</v>
      </c>
      <c r="B166" s="141" t="s">
        <v>88</v>
      </c>
      <c r="C166" s="69">
        <v>1010</v>
      </c>
      <c r="D166" s="107">
        <f>D167+D177+D175+D176</f>
        <v>11708.9</v>
      </c>
      <c r="E166" s="107"/>
      <c r="F166" s="107"/>
      <c r="G166" s="136">
        <f t="shared" ref="G166:G192" si="36">F166-E166</f>
        <v>0</v>
      </c>
      <c r="H166" s="136"/>
    </row>
    <row r="167" spans="1:8" ht="26.25" customHeight="1">
      <c r="A167" s="54" t="s">
        <v>604</v>
      </c>
      <c r="B167" s="137" t="s">
        <v>78</v>
      </c>
      <c r="C167" s="44">
        <v>1011</v>
      </c>
      <c r="D167" s="19">
        <f>SUM(D168:D174)</f>
        <v>1154.2</v>
      </c>
      <c r="E167" s="19"/>
      <c r="F167" s="19"/>
      <c r="G167" s="133">
        <f t="shared" si="36"/>
        <v>0</v>
      </c>
      <c r="H167" s="133"/>
    </row>
    <row r="168" spans="1:8" ht="26.25" customHeight="1">
      <c r="A168" s="54"/>
      <c r="B168" s="43" t="s">
        <v>151</v>
      </c>
      <c r="C168" s="44"/>
      <c r="D168" s="19">
        <f>420.1+421.9</f>
        <v>842</v>
      </c>
      <c r="E168" s="19"/>
      <c r="F168" s="19"/>
      <c r="G168" s="133"/>
      <c r="H168" s="133"/>
    </row>
    <row r="169" spans="1:8" ht="26.25" customHeight="1">
      <c r="A169" s="54"/>
      <c r="B169" s="41" t="s">
        <v>135</v>
      </c>
      <c r="C169" s="58"/>
      <c r="D169" s="58">
        <v>123.4</v>
      </c>
      <c r="E169" s="16"/>
      <c r="F169" s="16"/>
      <c r="G169" s="68">
        <f t="shared" si="36"/>
        <v>0</v>
      </c>
      <c r="H169" s="68"/>
    </row>
    <row r="170" spans="1:8" ht="26.25" customHeight="1">
      <c r="A170" s="54"/>
      <c r="B170" s="41" t="s">
        <v>142</v>
      </c>
      <c r="C170" s="58"/>
      <c r="D170" s="58">
        <v>74</v>
      </c>
      <c r="E170" s="16"/>
      <c r="F170" s="16"/>
      <c r="G170" s="68"/>
      <c r="H170" s="68"/>
    </row>
    <row r="171" spans="1:8" ht="26.25" customHeight="1">
      <c r="A171" s="54"/>
      <c r="B171" s="41" t="s">
        <v>328</v>
      </c>
      <c r="C171" s="58"/>
      <c r="D171" s="58">
        <v>80.3</v>
      </c>
      <c r="E171" s="16"/>
      <c r="F171" s="16"/>
      <c r="G171" s="68"/>
      <c r="H171" s="68"/>
    </row>
    <row r="172" spans="1:8" ht="40.5" customHeight="1">
      <c r="A172" s="54"/>
      <c r="B172" s="41" t="s">
        <v>145</v>
      </c>
      <c r="C172" s="58"/>
      <c r="D172" s="58">
        <v>10.7</v>
      </c>
      <c r="E172" s="16"/>
      <c r="F172" s="16"/>
      <c r="G172" s="68"/>
      <c r="H172" s="68"/>
    </row>
    <row r="173" spans="1:8" ht="26.25" customHeight="1">
      <c r="A173" s="54"/>
      <c r="B173" s="41" t="s">
        <v>149</v>
      </c>
      <c r="C173" s="45"/>
      <c r="D173" s="16">
        <v>21.7</v>
      </c>
      <c r="E173" s="16"/>
      <c r="F173" s="16"/>
      <c r="G173" s="68">
        <f t="shared" si="36"/>
        <v>0</v>
      </c>
      <c r="H173" s="68"/>
    </row>
    <row r="174" spans="1:8" ht="26.25" customHeight="1">
      <c r="A174" s="54"/>
      <c r="B174" s="41" t="s">
        <v>150</v>
      </c>
      <c r="C174" s="45"/>
      <c r="D174" s="16">
        <v>2.1</v>
      </c>
      <c r="E174" s="16"/>
      <c r="F174" s="16"/>
      <c r="G174" s="68">
        <f t="shared" si="36"/>
        <v>0</v>
      </c>
      <c r="H174" s="68"/>
    </row>
    <row r="175" spans="1:8" ht="26.25" customHeight="1">
      <c r="A175" s="54" t="s">
        <v>605</v>
      </c>
      <c r="B175" s="55" t="s">
        <v>2</v>
      </c>
      <c r="C175" s="94">
        <v>1012</v>
      </c>
      <c r="D175" s="19">
        <v>8613.5</v>
      </c>
      <c r="E175" s="19"/>
      <c r="F175" s="19"/>
      <c r="G175" s="133">
        <f t="shared" si="36"/>
        <v>0</v>
      </c>
      <c r="H175" s="133"/>
    </row>
    <row r="176" spans="1:8" ht="26.25" customHeight="1">
      <c r="A176" s="54" t="s">
        <v>606</v>
      </c>
      <c r="B176" s="55" t="s">
        <v>3</v>
      </c>
      <c r="C176" s="94">
        <v>1013</v>
      </c>
      <c r="D176" s="19">
        <v>1846.3</v>
      </c>
      <c r="E176" s="19"/>
      <c r="F176" s="19"/>
      <c r="G176" s="133">
        <f t="shared" si="36"/>
        <v>0</v>
      </c>
      <c r="H176" s="133"/>
    </row>
    <row r="177" spans="1:8" ht="26.25" customHeight="1">
      <c r="A177" s="54" t="s">
        <v>607</v>
      </c>
      <c r="B177" s="67" t="s">
        <v>152</v>
      </c>
      <c r="C177" s="44">
        <v>1015</v>
      </c>
      <c r="D177" s="19">
        <f>SUM(D178:D180)</f>
        <v>94.9</v>
      </c>
      <c r="E177" s="19"/>
      <c r="F177" s="19"/>
      <c r="G177" s="133">
        <f t="shared" si="36"/>
        <v>0</v>
      </c>
      <c r="H177" s="133"/>
    </row>
    <row r="178" spans="1:8" ht="38.25" customHeight="1">
      <c r="A178" s="54"/>
      <c r="B178" s="41" t="s">
        <v>138</v>
      </c>
      <c r="C178" s="45"/>
      <c r="D178" s="16">
        <v>31.6</v>
      </c>
      <c r="E178" s="16"/>
      <c r="F178" s="16"/>
      <c r="G178" s="68">
        <f t="shared" si="36"/>
        <v>0</v>
      </c>
      <c r="H178" s="68"/>
    </row>
    <row r="179" spans="1:8" ht="26.25" customHeight="1">
      <c r="A179" s="54"/>
      <c r="B179" s="42" t="s">
        <v>137</v>
      </c>
      <c r="C179" s="45"/>
      <c r="D179" s="16">
        <v>13.7</v>
      </c>
      <c r="E179" s="16"/>
      <c r="F179" s="16"/>
      <c r="G179" s="68">
        <f t="shared" si="36"/>
        <v>0</v>
      </c>
      <c r="H179" s="68"/>
    </row>
    <row r="180" spans="1:8" ht="41.25" customHeight="1">
      <c r="A180" s="54"/>
      <c r="B180" s="41" t="s">
        <v>397</v>
      </c>
      <c r="C180" s="45"/>
      <c r="D180" s="16">
        <v>49.6</v>
      </c>
      <c r="E180" s="16"/>
      <c r="F180" s="16"/>
      <c r="G180" s="68">
        <f t="shared" si="36"/>
        <v>0</v>
      </c>
      <c r="H180" s="68"/>
    </row>
    <row r="181" spans="1:8" ht="26.25" customHeight="1">
      <c r="A181" s="72" t="s">
        <v>608</v>
      </c>
      <c r="B181" s="141" t="s">
        <v>90</v>
      </c>
      <c r="C181" s="69">
        <v>1020</v>
      </c>
      <c r="D181" s="107">
        <f>D184+D182+D183</f>
        <v>1184.3999999999999</v>
      </c>
      <c r="E181" s="107">
        <f>E184</f>
        <v>0</v>
      </c>
      <c r="F181" s="107">
        <f>F184</f>
        <v>0</v>
      </c>
      <c r="G181" s="136">
        <f t="shared" si="36"/>
        <v>0</v>
      </c>
      <c r="H181" s="136"/>
    </row>
    <row r="182" spans="1:8" ht="26.25" customHeight="1">
      <c r="A182" s="54" t="s">
        <v>609</v>
      </c>
      <c r="B182" s="55" t="s">
        <v>2</v>
      </c>
      <c r="C182" s="94">
        <v>1022</v>
      </c>
      <c r="D182" s="19">
        <v>944.9</v>
      </c>
      <c r="E182" s="19"/>
      <c r="F182" s="19"/>
      <c r="G182" s="133">
        <f t="shared" si="36"/>
        <v>0</v>
      </c>
      <c r="H182" s="133"/>
    </row>
    <row r="183" spans="1:8" ht="26.25" customHeight="1">
      <c r="A183" s="54" t="s">
        <v>610</v>
      </c>
      <c r="B183" s="55" t="s">
        <v>3</v>
      </c>
      <c r="C183" s="94">
        <v>1023</v>
      </c>
      <c r="D183" s="19">
        <v>227.7</v>
      </c>
      <c r="E183" s="19"/>
      <c r="F183" s="19"/>
      <c r="G183" s="133">
        <f t="shared" si="36"/>
        <v>0</v>
      </c>
      <c r="H183" s="133"/>
    </row>
    <row r="184" spans="1:8" ht="26.25" customHeight="1">
      <c r="A184" s="54" t="s">
        <v>611</v>
      </c>
      <c r="B184" s="140" t="s">
        <v>141</v>
      </c>
      <c r="C184" s="94">
        <v>1025</v>
      </c>
      <c r="D184" s="19">
        <f>SUM(D185:D187)</f>
        <v>11.8</v>
      </c>
      <c r="E184" s="19"/>
      <c r="F184" s="19"/>
      <c r="G184" s="133">
        <f t="shared" si="36"/>
        <v>0</v>
      </c>
      <c r="H184" s="133"/>
    </row>
    <row r="185" spans="1:8" ht="26.25" customHeight="1">
      <c r="A185" s="54"/>
      <c r="B185" s="41" t="s">
        <v>139</v>
      </c>
      <c r="C185" s="45"/>
      <c r="D185" s="16">
        <v>5.5</v>
      </c>
      <c r="E185" s="16"/>
      <c r="F185" s="16"/>
      <c r="G185" s="68">
        <f t="shared" si="36"/>
        <v>0</v>
      </c>
      <c r="H185" s="68"/>
    </row>
    <row r="186" spans="1:8" ht="26.25" customHeight="1">
      <c r="A186" s="54"/>
      <c r="B186" s="41" t="s">
        <v>153</v>
      </c>
      <c r="C186" s="45"/>
      <c r="D186" s="16">
        <v>5.4</v>
      </c>
      <c r="E186" s="16"/>
      <c r="F186" s="16"/>
      <c r="G186" s="68">
        <f t="shared" si="36"/>
        <v>0</v>
      </c>
      <c r="H186" s="68"/>
    </row>
    <row r="187" spans="1:8" ht="26.25" customHeight="1">
      <c r="A187" s="54"/>
      <c r="B187" s="41" t="s">
        <v>356</v>
      </c>
      <c r="C187" s="45"/>
      <c r="D187" s="16">
        <v>0.9</v>
      </c>
      <c r="E187" s="16"/>
      <c r="F187" s="16"/>
      <c r="G187" s="68">
        <f t="shared" si="36"/>
        <v>0</v>
      </c>
      <c r="H187" s="68"/>
    </row>
    <row r="188" spans="1:8" ht="26.25" customHeight="1">
      <c r="A188" s="72" t="s">
        <v>612</v>
      </c>
      <c r="B188" s="141" t="s">
        <v>91</v>
      </c>
      <c r="C188" s="69">
        <v>1030</v>
      </c>
      <c r="D188" s="107">
        <f>D191+D189+D190</f>
        <v>61.1</v>
      </c>
      <c r="E188" s="107"/>
      <c r="F188" s="107"/>
      <c r="G188" s="136">
        <f t="shared" si="36"/>
        <v>0</v>
      </c>
      <c r="H188" s="136"/>
    </row>
    <row r="189" spans="1:8" ht="26.25" customHeight="1">
      <c r="A189" s="54" t="s">
        <v>613</v>
      </c>
      <c r="B189" s="146" t="s">
        <v>2</v>
      </c>
      <c r="C189" s="94">
        <v>1032</v>
      </c>
      <c r="D189" s="19">
        <v>41.5</v>
      </c>
      <c r="E189" s="19"/>
      <c r="F189" s="19"/>
      <c r="G189" s="133">
        <f t="shared" si="36"/>
        <v>0</v>
      </c>
      <c r="H189" s="133"/>
    </row>
    <row r="190" spans="1:8" ht="26.25" customHeight="1">
      <c r="A190" s="54" t="s">
        <v>614</v>
      </c>
      <c r="B190" s="146" t="s">
        <v>3</v>
      </c>
      <c r="C190" s="94">
        <v>1033</v>
      </c>
      <c r="D190" s="19"/>
      <c r="E190" s="19"/>
      <c r="F190" s="19"/>
      <c r="G190" s="133">
        <f t="shared" si="36"/>
        <v>0</v>
      </c>
      <c r="H190" s="133"/>
    </row>
    <row r="191" spans="1:8" ht="26.25" customHeight="1">
      <c r="A191" s="54" t="s">
        <v>615</v>
      </c>
      <c r="B191" s="137" t="s">
        <v>91</v>
      </c>
      <c r="C191" s="44">
        <v>1035</v>
      </c>
      <c r="D191" s="19">
        <f>D192</f>
        <v>19.600000000000001</v>
      </c>
      <c r="E191" s="19"/>
      <c r="F191" s="19"/>
      <c r="G191" s="133">
        <f t="shared" si="36"/>
        <v>0</v>
      </c>
      <c r="H191" s="133"/>
    </row>
    <row r="192" spans="1:8" ht="26.25" customHeight="1">
      <c r="A192" s="54"/>
      <c r="B192" s="42" t="s">
        <v>143</v>
      </c>
      <c r="C192" s="47"/>
      <c r="D192" s="16">
        <v>19.600000000000001</v>
      </c>
      <c r="E192" s="16"/>
      <c r="F192" s="16"/>
      <c r="G192" s="68">
        <f t="shared" si="36"/>
        <v>0</v>
      </c>
      <c r="H192" s="68"/>
    </row>
    <row r="193" spans="1:8" ht="36" customHeight="1">
      <c r="A193" s="52" t="s">
        <v>538</v>
      </c>
      <c r="B193" s="71" t="s">
        <v>709</v>
      </c>
      <c r="C193" s="64"/>
      <c r="D193" s="15">
        <f>D195</f>
        <v>0</v>
      </c>
      <c r="E193" s="15"/>
      <c r="F193" s="15">
        <f>F195</f>
        <v>199.2</v>
      </c>
      <c r="G193" s="66">
        <f>F193-E193</f>
        <v>199.2</v>
      </c>
      <c r="H193" s="66"/>
    </row>
    <row r="194" spans="1:8" ht="26.25" customHeight="1">
      <c r="A194" s="54"/>
      <c r="B194" s="57" t="s">
        <v>84</v>
      </c>
      <c r="C194" s="47"/>
      <c r="D194" s="16"/>
      <c r="E194" s="16"/>
      <c r="F194" s="16"/>
      <c r="G194" s="68"/>
      <c r="H194" s="68"/>
    </row>
    <row r="195" spans="1:8" ht="26.25" customHeight="1">
      <c r="A195" s="72" t="s">
        <v>539</v>
      </c>
      <c r="B195" s="141" t="s">
        <v>88</v>
      </c>
      <c r="C195" s="69">
        <v>1010</v>
      </c>
      <c r="D195" s="107"/>
      <c r="E195" s="107"/>
      <c r="F195" s="107">
        <f>F196</f>
        <v>199.2</v>
      </c>
      <c r="G195" s="136">
        <f t="shared" ref="G195:G197" si="37">F195-E195</f>
        <v>199.2</v>
      </c>
      <c r="H195" s="136"/>
    </row>
    <row r="196" spans="1:8" ht="26.25" customHeight="1">
      <c r="A196" s="54" t="s">
        <v>540</v>
      </c>
      <c r="B196" s="137" t="s">
        <v>78</v>
      </c>
      <c r="C196" s="44">
        <v>1011</v>
      </c>
      <c r="D196" s="19">
        <f>SUM(D197:D197)</f>
        <v>0</v>
      </c>
      <c r="E196" s="19"/>
      <c r="F196" s="19">
        <f>SUM(F197:F197)</f>
        <v>199.2</v>
      </c>
      <c r="G196" s="133">
        <f t="shared" si="37"/>
        <v>199.2</v>
      </c>
      <c r="H196" s="133"/>
    </row>
    <row r="197" spans="1:8" ht="26.25" customHeight="1">
      <c r="A197" s="54"/>
      <c r="B197" s="90" t="s">
        <v>151</v>
      </c>
      <c r="C197" s="47"/>
      <c r="D197" s="16"/>
      <c r="E197" s="16"/>
      <c r="F197" s="16">
        <v>199.2</v>
      </c>
      <c r="G197" s="68">
        <f t="shared" si="37"/>
        <v>199.2</v>
      </c>
      <c r="H197" s="68"/>
    </row>
    <row r="198" spans="1:8" ht="39.75" customHeight="1">
      <c r="A198" s="364" t="s">
        <v>173</v>
      </c>
      <c r="B198" s="365" t="s">
        <v>326</v>
      </c>
      <c r="C198" s="362"/>
      <c r="D198" s="15">
        <f>D200</f>
        <v>27.299999999999997</v>
      </c>
      <c r="E198" s="15">
        <f>E200</f>
        <v>71.600000000000009</v>
      </c>
      <c r="F198" s="15">
        <f>F200</f>
        <v>334.7</v>
      </c>
      <c r="G198" s="66">
        <f>F198-E198</f>
        <v>263.09999999999997</v>
      </c>
      <c r="H198" s="66">
        <f>F198/E198*100</f>
        <v>467.45810055865917</v>
      </c>
    </row>
    <row r="199" spans="1:8" ht="26.25" customHeight="1">
      <c r="A199" s="91"/>
      <c r="B199" s="57" t="s">
        <v>84</v>
      </c>
      <c r="C199" s="92"/>
      <c r="D199" s="16"/>
      <c r="E199" s="16"/>
      <c r="F199" s="15"/>
      <c r="G199" s="68"/>
      <c r="H199" s="68"/>
    </row>
    <row r="200" spans="1:8" ht="26.25" customHeight="1">
      <c r="A200" s="147" t="s">
        <v>541</v>
      </c>
      <c r="B200" s="148" t="s">
        <v>88</v>
      </c>
      <c r="C200" s="139">
        <v>1010</v>
      </c>
      <c r="D200" s="107">
        <f>D201+D202</f>
        <v>27.299999999999997</v>
      </c>
      <c r="E200" s="107">
        <f>E201+E202</f>
        <v>71.600000000000009</v>
      </c>
      <c r="F200" s="107">
        <f>F201+F202</f>
        <v>334.7</v>
      </c>
      <c r="G200" s="136">
        <f t="shared" ref="G200:G202" si="38">F200-E200</f>
        <v>263.09999999999997</v>
      </c>
      <c r="H200" s="136">
        <f t="shared" ref="H200:H202" si="39">(F200/E200)*100</f>
        <v>467.45810055865917</v>
      </c>
    </row>
    <row r="201" spans="1:8" ht="26.25" customHeight="1">
      <c r="A201" s="93" t="s">
        <v>542</v>
      </c>
      <c r="B201" s="146" t="s">
        <v>2</v>
      </c>
      <c r="C201" s="94">
        <v>1012</v>
      </c>
      <c r="D201" s="19">
        <v>22.4</v>
      </c>
      <c r="E201" s="19">
        <v>58.7</v>
      </c>
      <c r="F201" s="19">
        <v>276.8</v>
      </c>
      <c r="G201" s="133">
        <f t="shared" si="38"/>
        <v>218.10000000000002</v>
      </c>
      <c r="H201" s="133">
        <f t="shared" si="39"/>
        <v>471.55025553662693</v>
      </c>
    </row>
    <row r="202" spans="1:8" ht="26.25" customHeight="1">
      <c r="A202" s="93" t="s">
        <v>616</v>
      </c>
      <c r="B202" s="146" t="s">
        <v>3</v>
      </c>
      <c r="C202" s="94">
        <v>1013</v>
      </c>
      <c r="D202" s="19">
        <v>4.9000000000000004</v>
      </c>
      <c r="E202" s="19">
        <v>12.9</v>
      </c>
      <c r="F202" s="19">
        <v>57.9</v>
      </c>
      <c r="G202" s="133">
        <f t="shared" si="38"/>
        <v>45</v>
      </c>
      <c r="H202" s="133">
        <f t="shared" si="39"/>
        <v>448.83720930232556</v>
      </c>
    </row>
    <row r="203" spans="1:8" ht="26.25" customHeight="1">
      <c r="A203" s="52" t="s">
        <v>180</v>
      </c>
      <c r="B203" s="361" t="s">
        <v>154</v>
      </c>
      <c r="C203" s="47"/>
      <c r="D203" s="15">
        <f>D205+D229+D235</f>
        <v>11755.9</v>
      </c>
      <c r="E203" s="15">
        <f>E205+E229+E235</f>
        <v>12568.3</v>
      </c>
      <c r="F203" s="15">
        <f>F205+F229+F235</f>
        <v>14915.899999999998</v>
      </c>
      <c r="G203" s="66">
        <f>F203-E203</f>
        <v>2347.5999999999985</v>
      </c>
      <c r="H203" s="66">
        <f>(F203/E203)*100</f>
        <v>118.67873936809272</v>
      </c>
    </row>
    <row r="204" spans="1:8" ht="26.25" customHeight="1">
      <c r="A204" s="54"/>
      <c r="B204" s="57" t="s">
        <v>84</v>
      </c>
      <c r="C204" s="47"/>
      <c r="D204" s="16"/>
      <c r="E204" s="16"/>
      <c r="F204" s="16"/>
      <c r="G204" s="66"/>
      <c r="H204" s="66"/>
    </row>
    <row r="205" spans="1:8" ht="26.25" customHeight="1">
      <c r="A205" s="72" t="s">
        <v>617</v>
      </c>
      <c r="B205" s="141" t="s">
        <v>88</v>
      </c>
      <c r="C205" s="69">
        <v>1010</v>
      </c>
      <c r="D205" s="107">
        <f>D206+D218+D215+D216+D217</f>
        <v>11730.3</v>
      </c>
      <c r="E205" s="107">
        <f>E206+E218+E215+E216</f>
        <v>12499.199999999999</v>
      </c>
      <c r="F205" s="107">
        <f>F206+F218+F215+F216</f>
        <v>14820.499999999998</v>
      </c>
      <c r="G205" s="136">
        <f>F205-E205</f>
        <v>2321.2999999999993</v>
      </c>
      <c r="H205" s="136">
        <f>(F205/E205)*100</f>
        <v>118.57158858166923</v>
      </c>
    </row>
    <row r="206" spans="1:8" ht="26.25" customHeight="1">
      <c r="A206" s="54" t="s">
        <v>618</v>
      </c>
      <c r="B206" s="132" t="s">
        <v>105</v>
      </c>
      <c r="C206" s="56">
        <v>1011</v>
      </c>
      <c r="D206" s="19">
        <f>SUM(D207:D214)</f>
        <v>4645.3</v>
      </c>
      <c r="E206" s="19">
        <f t="shared" ref="E206:F206" si="40">SUM(E207:E214)</f>
        <v>6189</v>
      </c>
      <c r="F206" s="19">
        <f t="shared" si="40"/>
        <v>6778.7999999999993</v>
      </c>
      <c r="G206" s="133">
        <f t="shared" ref="G206:G225" si="41">F206-E206</f>
        <v>589.79999999999927</v>
      </c>
      <c r="H206" s="133">
        <f t="shared" ref="H206:H223" si="42">(F206/E206)*100</f>
        <v>109.52981095492001</v>
      </c>
    </row>
    <row r="207" spans="1:8" ht="26.25" customHeight="1">
      <c r="A207" s="54"/>
      <c r="B207" s="41" t="s">
        <v>155</v>
      </c>
      <c r="C207" s="45"/>
      <c r="D207" s="16">
        <v>2660</v>
      </c>
      <c r="E207" s="16">
        <v>4000</v>
      </c>
      <c r="F207" s="16">
        <f>4635-716.4</f>
        <v>3918.6</v>
      </c>
      <c r="G207" s="68">
        <f t="shared" si="41"/>
        <v>-81.400000000000091</v>
      </c>
      <c r="H207" s="68">
        <f t="shared" si="42"/>
        <v>97.965000000000003</v>
      </c>
    </row>
    <row r="208" spans="1:8" ht="26.25" customHeight="1">
      <c r="A208" s="54"/>
      <c r="B208" s="41" t="s">
        <v>156</v>
      </c>
      <c r="C208" s="45"/>
      <c r="D208" s="16">
        <v>225</v>
      </c>
      <c r="E208" s="16">
        <v>449.2</v>
      </c>
      <c r="F208" s="16">
        <f>171.9-63.9</f>
        <v>108</v>
      </c>
      <c r="G208" s="68">
        <f t="shared" si="41"/>
        <v>-341.2</v>
      </c>
      <c r="H208" s="68">
        <f t="shared" si="42"/>
        <v>24.04274265360641</v>
      </c>
    </row>
    <row r="209" spans="1:12" ht="26.25" customHeight="1">
      <c r="A209" s="54"/>
      <c r="B209" s="39" t="s">
        <v>157</v>
      </c>
      <c r="C209" s="45"/>
      <c r="D209" s="16">
        <v>1412</v>
      </c>
      <c r="E209" s="16">
        <v>1405.8</v>
      </c>
      <c r="F209" s="16">
        <v>2594.6</v>
      </c>
      <c r="G209" s="68">
        <f t="shared" si="41"/>
        <v>1188.8</v>
      </c>
      <c r="H209" s="68">
        <f t="shared" si="42"/>
        <v>184.56394935268173</v>
      </c>
    </row>
    <row r="210" spans="1:12" ht="26.25" customHeight="1">
      <c r="A210" s="54"/>
      <c r="B210" s="39" t="s">
        <v>134</v>
      </c>
      <c r="C210" s="45"/>
      <c r="D210" s="16">
        <v>32.4</v>
      </c>
      <c r="E210" s="16"/>
      <c r="F210" s="16"/>
      <c r="G210" s="68">
        <f t="shared" si="41"/>
        <v>0</v>
      </c>
      <c r="H210" s="68"/>
    </row>
    <row r="211" spans="1:12" ht="26.25" customHeight="1">
      <c r="A211" s="54"/>
      <c r="B211" s="42" t="s">
        <v>158</v>
      </c>
      <c r="C211" s="45"/>
      <c r="D211" s="16">
        <v>115.6</v>
      </c>
      <c r="E211" s="16">
        <v>334</v>
      </c>
      <c r="F211" s="16">
        <f>111.7-41</f>
        <v>70.7</v>
      </c>
      <c r="G211" s="68">
        <f t="shared" si="41"/>
        <v>-263.3</v>
      </c>
      <c r="H211" s="68"/>
    </row>
    <row r="212" spans="1:12" ht="26.25" customHeight="1">
      <c r="A212" s="54"/>
      <c r="B212" s="42" t="s">
        <v>135</v>
      </c>
      <c r="C212" s="45"/>
      <c r="D212" s="16">
        <v>47.5</v>
      </c>
      <c r="E212" s="16"/>
      <c r="F212" s="16"/>
      <c r="G212" s="68">
        <f t="shared" si="41"/>
        <v>0</v>
      </c>
      <c r="H212" s="68"/>
    </row>
    <row r="213" spans="1:12" ht="26.25" customHeight="1">
      <c r="A213" s="54"/>
      <c r="B213" s="39" t="s">
        <v>159</v>
      </c>
      <c r="C213" s="45"/>
      <c r="D213" s="16">
        <v>151.1</v>
      </c>
      <c r="E213" s="16"/>
      <c r="F213" s="16">
        <f>86.9</f>
        <v>86.9</v>
      </c>
      <c r="G213" s="68">
        <f t="shared" si="41"/>
        <v>86.9</v>
      </c>
      <c r="H213" s="68"/>
    </row>
    <row r="214" spans="1:12" ht="37.5" customHeight="1">
      <c r="A214" s="54"/>
      <c r="B214" s="41" t="s">
        <v>145</v>
      </c>
      <c r="C214" s="45"/>
      <c r="D214" s="16">
        <v>1.7</v>
      </c>
      <c r="E214" s="16"/>
      <c r="F214" s="16"/>
      <c r="G214" s="68"/>
      <c r="H214" s="68"/>
    </row>
    <row r="215" spans="1:12" ht="26.25" customHeight="1">
      <c r="A215" s="93" t="s">
        <v>619</v>
      </c>
      <c r="B215" s="55" t="s">
        <v>2</v>
      </c>
      <c r="C215" s="94">
        <v>1012</v>
      </c>
      <c r="D215" s="19">
        <v>2799.9</v>
      </c>
      <c r="E215" s="19">
        <v>1989.3</v>
      </c>
      <c r="F215" s="19">
        <v>1989.3</v>
      </c>
      <c r="G215" s="133">
        <f t="shared" si="41"/>
        <v>0</v>
      </c>
      <c r="H215" s="133">
        <f t="shared" si="42"/>
        <v>100</v>
      </c>
    </row>
    <row r="216" spans="1:12" ht="26.25" customHeight="1">
      <c r="A216" s="93" t="s">
        <v>620</v>
      </c>
      <c r="B216" s="55" t="s">
        <v>3</v>
      </c>
      <c r="C216" s="94">
        <v>1013</v>
      </c>
      <c r="D216" s="19">
        <v>575.29999999999995</v>
      </c>
      <c r="E216" s="19">
        <v>412.1</v>
      </c>
      <c r="F216" s="19">
        <v>412.1</v>
      </c>
      <c r="G216" s="133">
        <f t="shared" si="41"/>
        <v>0</v>
      </c>
      <c r="H216" s="133">
        <f t="shared" si="42"/>
        <v>100</v>
      </c>
    </row>
    <row r="217" spans="1:12" ht="26.25" customHeight="1">
      <c r="A217" s="93" t="s">
        <v>621</v>
      </c>
      <c r="B217" s="55" t="s">
        <v>4</v>
      </c>
      <c r="C217" s="94">
        <v>1014</v>
      </c>
      <c r="D217" s="19"/>
      <c r="E217" s="19"/>
      <c r="F217" s="19"/>
      <c r="G217" s="133">
        <f t="shared" si="41"/>
        <v>0</v>
      </c>
      <c r="H217" s="133"/>
    </row>
    <row r="218" spans="1:12" ht="26.25" customHeight="1">
      <c r="A218" s="54" t="s">
        <v>622</v>
      </c>
      <c r="B218" s="67" t="s">
        <v>152</v>
      </c>
      <c r="C218" s="44">
        <v>1015</v>
      </c>
      <c r="D218" s="19">
        <f t="shared" ref="D218:E218" si="43">SUM(D219:D228)</f>
        <v>3709.7999999999997</v>
      </c>
      <c r="E218" s="19">
        <f t="shared" si="43"/>
        <v>3908.8</v>
      </c>
      <c r="F218" s="19">
        <f>SUM(F219:F228)</f>
        <v>5640.3</v>
      </c>
      <c r="G218" s="133">
        <f t="shared" si="41"/>
        <v>1731.5</v>
      </c>
      <c r="H218" s="133">
        <f t="shared" si="42"/>
        <v>144.29748260335654</v>
      </c>
    </row>
    <row r="219" spans="1:12" ht="26.25" customHeight="1">
      <c r="A219" s="54"/>
      <c r="B219" s="341" t="s">
        <v>161</v>
      </c>
      <c r="C219" s="45"/>
      <c r="D219" s="16">
        <v>305.8</v>
      </c>
      <c r="E219" s="16"/>
      <c r="F219" s="16"/>
      <c r="G219" s="68">
        <f t="shared" si="41"/>
        <v>0</v>
      </c>
      <c r="H219" s="68"/>
    </row>
    <row r="220" spans="1:12" ht="26.25" customHeight="1">
      <c r="A220" s="54"/>
      <c r="B220" s="50" t="s">
        <v>164</v>
      </c>
      <c r="C220" s="45"/>
      <c r="D220" s="16">
        <v>1598.3</v>
      </c>
      <c r="E220" s="16">
        <v>1941.1</v>
      </c>
      <c r="F220" s="16">
        <v>3423.1</v>
      </c>
      <c r="G220" s="68">
        <f t="shared" si="41"/>
        <v>1482</v>
      </c>
      <c r="H220" s="68">
        <f t="shared" si="42"/>
        <v>176.34846221214775</v>
      </c>
    </row>
    <row r="221" spans="1:12" ht="26.25" customHeight="1">
      <c r="A221" s="54"/>
      <c r="B221" s="95" t="s">
        <v>162</v>
      </c>
      <c r="C221" s="45"/>
      <c r="D221" s="16">
        <v>317.10000000000002</v>
      </c>
      <c r="E221" s="16">
        <v>489.1</v>
      </c>
      <c r="F221" s="16">
        <v>440.7</v>
      </c>
      <c r="G221" s="68">
        <f t="shared" si="41"/>
        <v>-48.400000000000034</v>
      </c>
      <c r="H221" s="68">
        <f t="shared" si="42"/>
        <v>90.104273154774077</v>
      </c>
      <c r="K221" s="82"/>
      <c r="L221" s="82"/>
    </row>
    <row r="222" spans="1:12" ht="26.25" customHeight="1">
      <c r="A222" s="54"/>
      <c r="B222" s="50" t="s">
        <v>163</v>
      </c>
      <c r="C222" s="45"/>
      <c r="D222" s="16">
        <v>917.1</v>
      </c>
      <c r="E222" s="16">
        <v>1018.8</v>
      </c>
      <c r="F222" s="16">
        <v>1657.2</v>
      </c>
      <c r="G222" s="68">
        <f t="shared" si="41"/>
        <v>638.40000000000009</v>
      </c>
      <c r="H222" s="68">
        <f t="shared" si="42"/>
        <v>162.66195524146053</v>
      </c>
      <c r="K222" s="82"/>
      <c r="L222" s="82"/>
    </row>
    <row r="223" spans="1:12" ht="26.25" customHeight="1">
      <c r="A223" s="54"/>
      <c r="B223" s="95" t="s">
        <v>160</v>
      </c>
      <c r="C223" s="45"/>
      <c r="D223" s="16">
        <v>112.2</v>
      </c>
      <c r="E223" s="16">
        <v>119.8</v>
      </c>
      <c r="F223" s="16">
        <v>118.2</v>
      </c>
      <c r="G223" s="68">
        <f t="shared" si="41"/>
        <v>-1.5999999999999943</v>
      </c>
      <c r="H223" s="68">
        <f t="shared" si="42"/>
        <v>98.664440734557601</v>
      </c>
      <c r="K223" s="82"/>
      <c r="L223" s="82"/>
    </row>
    <row r="224" spans="1:12" ht="26.25" customHeight="1">
      <c r="A224" s="54"/>
      <c r="B224" s="48" t="s">
        <v>148</v>
      </c>
      <c r="C224" s="45"/>
      <c r="D224" s="16">
        <v>119.3</v>
      </c>
      <c r="E224" s="16"/>
      <c r="F224" s="16"/>
      <c r="G224" s="68">
        <f t="shared" si="41"/>
        <v>0</v>
      </c>
      <c r="H224" s="68"/>
      <c r="K224" s="82"/>
      <c r="L224" s="82"/>
    </row>
    <row r="225" spans="1:8" ht="39" customHeight="1">
      <c r="A225" s="54"/>
      <c r="B225" s="41" t="s">
        <v>138</v>
      </c>
      <c r="C225" s="45"/>
      <c r="D225" s="16">
        <v>150</v>
      </c>
      <c r="E225" s="16"/>
      <c r="F225" s="16"/>
      <c r="G225" s="68">
        <f t="shared" si="41"/>
        <v>0</v>
      </c>
      <c r="H225" s="68"/>
    </row>
    <row r="226" spans="1:8" ht="39" customHeight="1">
      <c r="A226" s="54"/>
      <c r="B226" s="41" t="s">
        <v>436</v>
      </c>
      <c r="C226" s="45"/>
      <c r="D226" s="16"/>
      <c r="E226" s="16">
        <v>340</v>
      </c>
      <c r="F226" s="16"/>
      <c r="G226" s="68"/>
      <c r="H226" s="68"/>
    </row>
    <row r="227" spans="1:8" ht="26.25" customHeight="1">
      <c r="A227" s="54"/>
      <c r="B227" s="41" t="s">
        <v>165</v>
      </c>
      <c r="C227" s="45"/>
      <c r="D227" s="16">
        <v>190</v>
      </c>
      <c r="E227" s="16"/>
      <c r="F227" s="16"/>
      <c r="G227" s="68">
        <f>F227-E227</f>
        <v>0</v>
      </c>
      <c r="H227" s="68"/>
    </row>
    <row r="228" spans="1:8" ht="26.25" customHeight="1">
      <c r="A228" s="54"/>
      <c r="B228" s="41" t="s">
        <v>535</v>
      </c>
      <c r="C228" s="45"/>
      <c r="D228" s="86"/>
      <c r="E228" s="86"/>
      <c r="F228" s="86">
        <v>1.1000000000000001</v>
      </c>
      <c r="G228" s="68"/>
      <c r="H228" s="68"/>
    </row>
    <row r="229" spans="1:8" ht="26.25" customHeight="1">
      <c r="A229" s="72" t="s">
        <v>623</v>
      </c>
      <c r="B229" s="141" t="s">
        <v>90</v>
      </c>
      <c r="C229" s="69">
        <v>1020</v>
      </c>
      <c r="D229" s="107">
        <f>D230</f>
        <v>0</v>
      </c>
      <c r="E229" s="107">
        <f>E230</f>
        <v>69.100000000000009</v>
      </c>
      <c r="F229" s="107">
        <f>F230</f>
        <v>95.4</v>
      </c>
      <c r="G229" s="136">
        <f>F229-E229</f>
        <v>26.299999999999997</v>
      </c>
      <c r="H229" s="136">
        <f>(F229/E229)*100</f>
        <v>138.06078147612155</v>
      </c>
    </row>
    <row r="230" spans="1:8" ht="26.25" customHeight="1">
      <c r="A230" s="54" t="s">
        <v>624</v>
      </c>
      <c r="B230" s="140" t="s">
        <v>141</v>
      </c>
      <c r="C230" s="56">
        <v>1025</v>
      </c>
      <c r="D230" s="19">
        <f>SUM(D231:D234)</f>
        <v>0</v>
      </c>
      <c r="E230" s="19">
        <f>SUM(E231:E234)</f>
        <v>69.100000000000009</v>
      </c>
      <c r="F230" s="19">
        <f>SUM(F231:F234)</f>
        <v>95.4</v>
      </c>
      <c r="G230" s="133">
        <f t="shared" ref="G230:G234" si="44">F230-E230</f>
        <v>26.299999999999997</v>
      </c>
      <c r="H230" s="133">
        <f t="shared" ref="H230:H234" si="45">(F230/E230)*100</f>
        <v>138.06078147612155</v>
      </c>
    </row>
    <row r="231" spans="1:8" ht="26.25" customHeight="1">
      <c r="A231" s="72"/>
      <c r="B231" s="95" t="s">
        <v>164</v>
      </c>
      <c r="C231" s="77"/>
      <c r="D231" s="16"/>
      <c r="E231" s="16">
        <v>37.6</v>
      </c>
      <c r="F231" s="16">
        <v>83.8</v>
      </c>
      <c r="G231" s="68">
        <f t="shared" si="44"/>
        <v>46.199999999999996</v>
      </c>
      <c r="H231" s="68">
        <f t="shared" si="45"/>
        <v>222.87234042553189</v>
      </c>
    </row>
    <row r="232" spans="1:8" ht="26.25" customHeight="1">
      <c r="A232" s="54"/>
      <c r="B232" s="95" t="s">
        <v>162</v>
      </c>
      <c r="C232" s="45"/>
      <c r="D232" s="16"/>
      <c r="E232" s="16">
        <v>9.4</v>
      </c>
      <c r="F232" s="16">
        <v>2.2000000000000002</v>
      </c>
      <c r="G232" s="68">
        <f t="shared" si="44"/>
        <v>-7.2</v>
      </c>
      <c r="H232" s="68">
        <f t="shared" si="45"/>
        <v>23.404255319148938</v>
      </c>
    </row>
    <row r="233" spans="1:8" ht="26.25" customHeight="1">
      <c r="A233" s="54"/>
      <c r="B233" s="95" t="s">
        <v>163</v>
      </c>
      <c r="C233" s="45"/>
      <c r="D233" s="16"/>
      <c r="E233" s="16">
        <v>19.7</v>
      </c>
      <c r="F233" s="16">
        <v>8.9</v>
      </c>
      <c r="G233" s="68">
        <f t="shared" si="44"/>
        <v>-10.799999999999999</v>
      </c>
      <c r="H233" s="68">
        <f t="shared" si="45"/>
        <v>45.17766497461929</v>
      </c>
    </row>
    <row r="234" spans="1:8" ht="26.25" customHeight="1">
      <c r="A234" s="54"/>
      <c r="B234" s="50" t="s">
        <v>160</v>
      </c>
      <c r="C234" s="45"/>
      <c r="D234" s="16"/>
      <c r="E234" s="16">
        <v>2.4</v>
      </c>
      <c r="F234" s="16">
        <v>0.5</v>
      </c>
      <c r="G234" s="68">
        <f t="shared" si="44"/>
        <v>-1.9</v>
      </c>
      <c r="H234" s="68">
        <f t="shared" si="45"/>
        <v>20.833333333333336</v>
      </c>
    </row>
    <row r="235" spans="1:8" ht="26.25" customHeight="1">
      <c r="A235" s="72" t="s">
        <v>625</v>
      </c>
      <c r="B235" s="141" t="s">
        <v>91</v>
      </c>
      <c r="C235" s="145">
        <v>1030</v>
      </c>
      <c r="D235" s="107">
        <f>D236</f>
        <v>25.6</v>
      </c>
      <c r="E235" s="107"/>
      <c r="F235" s="107"/>
      <c r="G235" s="136">
        <f>F235-E235</f>
        <v>0</v>
      </c>
      <c r="H235" s="136"/>
    </row>
    <row r="236" spans="1:8" ht="26.25" customHeight="1">
      <c r="A236" s="54" t="s">
        <v>626</v>
      </c>
      <c r="B236" s="132" t="s">
        <v>105</v>
      </c>
      <c r="C236" s="56">
        <v>1031</v>
      </c>
      <c r="D236" s="19">
        <f>SUM(D237:D237)</f>
        <v>25.6</v>
      </c>
      <c r="E236" s="19">
        <f>SUM(E237:E237)</f>
        <v>0</v>
      </c>
      <c r="F236" s="19">
        <f>SUM(F237:F237)</f>
        <v>0</v>
      </c>
      <c r="G236" s="133">
        <f t="shared" ref="G236:G237" si="46">F236-E236</f>
        <v>0</v>
      </c>
      <c r="H236" s="133"/>
    </row>
    <row r="237" spans="1:8" ht="26.25" customHeight="1">
      <c r="A237" s="54"/>
      <c r="B237" s="95" t="s">
        <v>166</v>
      </c>
      <c r="C237" s="45"/>
      <c r="D237" s="16">
        <v>25.6</v>
      </c>
      <c r="E237" s="16"/>
      <c r="F237" s="16"/>
      <c r="G237" s="68">
        <f t="shared" si="46"/>
        <v>0</v>
      </c>
      <c r="H237" s="68"/>
    </row>
    <row r="238" spans="1:8" ht="26.25" customHeight="1">
      <c r="A238" s="52" t="s">
        <v>182</v>
      </c>
      <c r="B238" s="361" t="s">
        <v>428</v>
      </c>
      <c r="C238" s="47"/>
      <c r="D238" s="15"/>
      <c r="E238" s="15">
        <f t="shared" ref="E238" si="47">E240</f>
        <v>0</v>
      </c>
      <c r="F238" s="15">
        <f>F240</f>
        <v>821.3</v>
      </c>
      <c r="G238" s="66"/>
      <c r="H238" s="66"/>
    </row>
    <row r="239" spans="1:8" ht="26.25" customHeight="1">
      <c r="A239" s="54"/>
      <c r="B239" s="57" t="s">
        <v>84</v>
      </c>
      <c r="C239" s="47"/>
      <c r="D239" s="16"/>
      <c r="E239" s="16"/>
      <c r="F239" s="16"/>
      <c r="G239" s="68"/>
      <c r="H239" s="68"/>
    </row>
    <row r="240" spans="1:8" ht="26.25" customHeight="1">
      <c r="A240" s="72" t="s">
        <v>543</v>
      </c>
      <c r="B240" s="141" t="s">
        <v>88</v>
      </c>
      <c r="C240" s="69">
        <v>1010</v>
      </c>
      <c r="D240" s="16">
        <f t="shared" ref="D240:E240" si="48">D241</f>
        <v>0</v>
      </c>
      <c r="E240" s="16">
        <f t="shared" si="48"/>
        <v>0</v>
      </c>
      <c r="F240" s="16">
        <f>F241</f>
        <v>821.3</v>
      </c>
      <c r="G240" s="68"/>
      <c r="H240" s="68"/>
    </row>
    <row r="241" spans="1:8" ht="26.25" customHeight="1">
      <c r="A241" s="54" t="s">
        <v>544</v>
      </c>
      <c r="B241" s="132" t="s">
        <v>105</v>
      </c>
      <c r="C241" s="56">
        <v>1011</v>
      </c>
      <c r="D241" s="16">
        <f>SUM(D242:D244)</f>
        <v>0</v>
      </c>
      <c r="E241" s="16">
        <f>SUM(E242:E244)</f>
        <v>0</v>
      </c>
      <c r="F241" s="16">
        <f>SUM(F242:F244)</f>
        <v>821.3</v>
      </c>
      <c r="G241" s="68"/>
      <c r="H241" s="68"/>
    </row>
    <row r="242" spans="1:8" ht="26.25" customHeight="1">
      <c r="A242" s="54"/>
      <c r="B242" s="42" t="s">
        <v>158</v>
      </c>
      <c r="C242" s="56"/>
      <c r="D242" s="16"/>
      <c r="E242" s="16"/>
      <c r="F242" s="16">
        <v>41</v>
      </c>
      <c r="G242" s="68"/>
      <c r="H242" s="68"/>
    </row>
    <row r="243" spans="1:8" ht="26.25" customHeight="1">
      <c r="A243" s="54"/>
      <c r="B243" s="41" t="s">
        <v>156</v>
      </c>
      <c r="C243" s="56"/>
      <c r="D243" s="16"/>
      <c r="E243" s="16"/>
      <c r="F243" s="16">
        <v>63.9</v>
      </c>
      <c r="G243" s="68"/>
      <c r="H243" s="68"/>
    </row>
    <row r="244" spans="1:8" ht="26.25" customHeight="1">
      <c r="A244" s="54"/>
      <c r="B244" s="41" t="s">
        <v>155</v>
      </c>
      <c r="C244" s="56"/>
      <c r="D244" s="16"/>
      <c r="E244" s="16"/>
      <c r="F244" s="16">
        <v>716.4</v>
      </c>
      <c r="G244" s="68"/>
      <c r="H244" s="68"/>
    </row>
    <row r="245" spans="1:8" ht="42" customHeight="1">
      <c r="A245" s="52" t="s">
        <v>183</v>
      </c>
      <c r="B245" s="71" t="s">
        <v>172</v>
      </c>
      <c r="C245" s="46"/>
      <c r="D245" s="15">
        <f>D250</f>
        <v>1.8</v>
      </c>
      <c r="E245" s="15">
        <f>E247</f>
        <v>1.8</v>
      </c>
      <c r="F245" s="15">
        <f>F247</f>
        <v>26.2</v>
      </c>
      <c r="G245" s="66">
        <f>F245-E245</f>
        <v>24.4</v>
      </c>
      <c r="H245" s="66">
        <f>(F245/E245)*100</f>
        <v>1455.5555555555554</v>
      </c>
    </row>
    <row r="246" spans="1:8" ht="26.25" customHeight="1">
      <c r="A246" s="54"/>
      <c r="B246" s="57" t="s">
        <v>84</v>
      </c>
      <c r="C246" s="47"/>
      <c r="D246" s="16"/>
      <c r="E246" s="16"/>
      <c r="F246" s="16"/>
      <c r="G246" s="66"/>
      <c r="H246" s="66"/>
    </row>
    <row r="247" spans="1:8" ht="26.25" customHeight="1">
      <c r="A247" s="72" t="s">
        <v>545</v>
      </c>
      <c r="B247" s="141" t="s">
        <v>88</v>
      </c>
      <c r="C247" s="69">
        <v>1010</v>
      </c>
      <c r="D247" s="107">
        <f t="shared" ref="D247:F247" si="49">D248</f>
        <v>0</v>
      </c>
      <c r="E247" s="107">
        <f t="shared" si="49"/>
        <v>1.8</v>
      </c>
      <c r="F247" s="107">
        <f t="shared" si="49"/>
        <v>26.2</v>
      </c>
      <c r="G247" s="136">
        <f>F247-E247</f>
        <v>24.4</v>
      </c>
      <c r="H247" s="136">
        <f>(F247/E247)*100</f>
        <v>1455.5555555555554</v>
      </c>
    </row>
    <row r="248" spans="1:8" ht="26.25" customHeight="1">
      <c r="A248" s="54" t="s">
        <v>546</v>
      </c>
      <c r="B248" s="67" t="s">
        <v>152</v>
      </c>
      <c r="C248" s="44">
        <v>1015</v>
      </c>
      <c r="D248" s="19">
        <f>D249</f>
        <v>0</v>
      </c>
      <c r="E248" s="19">
        <f>E249</f>
        <v>1.8</v>
      </c>
      <c r="F248" s="19">
        <f>F249</f>
        <v>26.2</v>
      </c>
      <c r="G248" s="133">
        <f t="shared" ref="G248:G249" si="50">F248-E248</f>
        <v>24.4</v>
      </c>
      <c r="H248" s="133">
        <f t="shared" ref="H248:H249" si="51">(F248/E248)*100</f>
        <v>1455.5555555555554</v>
      </c>
    </row>
    <row r="249" spans="1:8" ht="26.25" customHeight="1">
      <c r="A249" s="54"/>
      <c r="B249" s="43" t="s">
        <v>148</v>
      </c>
      <c r="C249" s="45"/>
      <c r="D249" s="16"/>
      <c r="E249" s="16">
        <v>1.8</v>
      </c>
      <c r="F249" s="16">
        <f>26.9-0.7</f>
        <v>26.2</v>
      </c>
      <c r="G249" s="68">
        <f t="shared" si="50"/>
        <v>24.4</v>
      </c>
      <c r="H249" s="68">
        <f t="shared" si="51"/>
        <v>1455.5555555555554</v>
      </c>
    </row>
    <row r="250" spans="1:8" ht="26.25" customHeight="1">
      <c r="A250" s="54" t="s">
        <v>681</v>
      </c>
      <c r="B250" s="141" t="s">
        <v>90</v>
      </c>
      <c r="C250" s="69">
        <v>1020</v>
      </c>
      <c r="D250" s="107">
        <v>1.8</v>
      </c>
      <c r="E250" s="16"/>
      <c r="F250" s="16"/>
      <c r="G250" s="68"/>
      <c r="H250" s="68"/>
    </row>
    <row r="251" spans="1:8" ht="26.25" customHeight="1">
      <c r="A251" s="54" t="s">
        <v>682</v>
      </c>
      <c r="B251" s="140" t="s">
        <v>141</v>
      </c>
      <c r="C251" s="56">
        <v>1025</v>
      </c>
      <c r="D251" s="19">
        <v>1.8</v>
      </c>
      <c r="E251" s="16"/>
      <c r="F251" s="16"/>
      <c r="G251" s="68"/>
      <c r="H251" s="68"/>
    </row>
    <row r="252" spans="1:8" ht="26.25" customHeight="1">
      <c r="A252" s="54"/>
      <c r="B252" s="43" t="s">
        <v>148</v>
      </c>
      <c r="C252" s="45"/>
      <c r="D252" s="16">
        <v>1.8</v>
      </c>
      <c r="E252" s="16"/>
      <c r="F252" s="16"/>
      <c r="G252" s="68"/>
      <c r="H252" s="68"/>
    </row>
    <row r="253" spans="1:8" ht="41.25" customHeight="1">
      <c r="A253" s="52" t="s">
        <v>405</v>
      </c>
      <c r="B253" s="71" t="s">
        <v>404</v>
      </c>
      <c r="C253" s="46"/>
      <c r="D253" s="16"/>
      <c r="E253" s="16"/>
      <c r="F253" s="15">
        <f>F255</f>
        <v>0.7</v>
      </c>
      <c r="G253" s="66">
        <f>F253-E253</f>
        <v>0.7</v>
      </c>
      <c r="H253" s="68"/>
    </row>
    <row r="254" spans="1:8" ht="26.25" customHeight="1">
      <c r="A254" s="54"/>
      <c r="B254" s="57" t="s">
        <v>84</v>
      </c>
      <c r="C254" s="47"/>
      <c r="D254" s="16"/>
      <c r="E254" s="16"/>
      <c r="F254" s="16"/>
      <c r="G254" s="68"/>
      <c r="H254" s="68"/>
    </row>
    <row r="255" spans="1:8" ht="26.25" customHeight="1">
      <c r="A255" s="72" t="s">
        <v>547</v>
      </c>
      <c r="B255" s="141" t="s">
        <v>88</v>
      </c>
      <c r="C255" s="69">
        <v>1010</v>
      </c>
      <c r="D255" s="107"/>
      <c r="E255" s="107"/>
      <c r="F255" s="107">
        <f>F256</f>
        <v>0.7</v>
      </c>
      <c r="G255" s="136">
        <f t="shared" ref="G255:G257" si="52">F255-E255</f>
        <v>0.7</v>
      </c>
      <c r="H255" s="136"/>
    </row>
    <row r="256" spans="1:8" ht="26.25" customHeight="1">
      <c r="A256" s="54" t="s">
        <v>627</v>
      </c>
      <c r="B256" s="67" t="s">
        <v>152</v>
      </c>
      <c r="C256" s="44">
        <v>1015</v>
      </c>
      <c r="D256" s="19"/>
      <c r="E256" s="19"/>
      <c r="F256" s="19">
        <f>F257</f>
        <v>0.7</v>
      </c>
      <c r="G256" s="133">
        <f t="shared" si="52"/>
        <v>0.7</v>
      </c>
      <c r="H256" s="133"/>
    </row>
    <row r="257" spans="1:8" ht="26.25" customHeight="1">
      <c r="A257" s="54"/>
      <c r="B257" s="43" t="s">
        <v>148</v>
      </c>
      <c r="C257" s="45"/>
      <c r="D257" s="16"/>
      <c r="E257" s="16"/>
      <c r="F257" s="16">
        <v>0.7</v>
      </c>
      <c r="G257" s="68">
        <f t="shared" si="52"/>
        <v>0.7</v>
      </c>
      <c r="H257" s="68"/>
    </row>
    <row r="258" spans="1:8" ht="26.25" customHeight="1">
      <c r="A258" s="52" t="s">
        <v>333</v>
      </c>
      <c r="B258" s="361" t="s">
        <v>181</v>
      </c>
      <c r="C258" s="362"/>
      <c r="D258" s="15">
        <f>D260</f>
        <v>41.199999999999996</v>
      </c>
      <c r="E258" s="15">
        <f>E260</f>
        <v>31.799999999999997</v>
      </c>
      <c r="F258" s="15">
        <f>F260</f>
        <v>38.200000000000003</v>
      </c>
      <c r="G258" s="66">
        <f>F258-E258</f>
        <v>6.4000000000000057</v>
      </c>
      <c r="H258" s="66">
        <f>F258/E258*100</f>
        <v>120.12578616352204</v>
      </c>
    </row>
    <row r="259" spans="1:8" ht="26.25" customHeight="1">
      <c r="A259" s="53"/>
      <c r="B259" s="57" t="s">
        <v>84</v>
      </c>
      <c r="C259" s="45"/>
      <c r="D259" s="16"/>
      <c r="E259" s="16"/>
      <c r="F259" s="16"/>
      <c r="G259" s="68"/>
      <c r="H259" s="68"/>
    </row>
    <row r="260" spans="1:8" ht="26.25" customHeight="1">
      <c r="A260" s="149" t="s">
        <v>548</v>
      </c>
      <c r="B260" s="150" t="s">
        <v>13</v>
      </c>
      <c r="C260" s="142">
        <v>1030</v>
      </c>
      <c r="D260" s="107">
        <f>D261</f>
        <v>41.199999999999996</v>
      </c>
      <c r="E260" s="107">
        <f>E261</f>
        <v>31.799999999999997</v>
      </c>
      <c r="F260" s="107">
        <f>F261</f>
        <v>38.200000000000003</v>
      </c>
      <c r="G260" s="136">
        <f t="shared" ref="G260:G265" si="53">F260-E260</f>
        <v>6.4000000000000057</v>
      </c>
      <c r="H260" s="136">
        <f t="shared" ref="H260:H264" si="54">(F260/E260)*100</f>
        <v>120.12578616352204</v>
      </c>
    </row>
    <row r="261" spans="1:8" ht="26.25" customHeight="1">
      <c r="A261" s="97" t="s">
        <v>628</v>
      </c>
      <c r="B261" s="57" t="s">
        <v>91</v>
      </c>
      <c r="C261" s="56">
        <v>1035</v>
      </c>
      <c r="D261" s="19">
        <f>SUM(D262:D265)</f>
        <v>41.199999999999996</v>
      </c>
      <c r="E261" s="19">
        <f>SUM(E262:E265)</f>
        <v>31.799999999999997</v>
      </c>
      <c r="F261" s="19">
        <f>SUM(F262:F265)</f>
        <v>38.200000000000003</v>
      </c>
      <c r="G261" s="133">
        <f t="shared" si="53"/>
        <v>6.4000000000000057</v>
      </c>
      <c r="H261" s="133">
        <f t="shared" si="54"/>
        <v>120.12578616352204</v>
      </c>
    </row>
    <row r="262" spans="1:8" ht="26.25" customHeight="1">
      <c r="A262" s="53"/>
      <c r="B262" s="41" t="s">
        <v>164</v>
      </c>
      <c r="C262" s="45"/>
      <c r="D262" s="16">
        <v>11.4</v>
      </c>
      <c r="E262" s="16">
        <v>12.2</v>
      </c>
      <c r="F262" s="16">
        <f>14.9-2.1</f>
        <v>12.8</v>
      </c>
      <c r="G262" s="68">
        <f t="shared" si="53"/>
        <v>0.60000000000000142</v>
      </c>
      <c r="H262" s="68">
        <f t="shared" si="54"/>
        <v>104.91803278688525</v>
      </c>
    </row>
    <row r="263" spans="1:8" ht="26.25" customHeight="1">
      <c r="A263" s="53"/>
      <c r="B263" s="41" t="s">
        <v>162</v>
      </c>
      <c r="C263" s="45"/>
      <c r="D263" s="16">
        <v>0.9</v>
      </c>
      <c r="E263" s="16">
        <v>1.6</v>
      </c>
      <c r="F263" s="16">
        <f>1.8-0.7</f>
        <v>1.1000000000000001</v>
      </c>
      <c r="G263" s="68">
        <f t="shared" si="53"/>
        <v>-0.5</v>
      </c>
      <c r="H263" s="68">
        <f t="shared" si="54"/>
        <v>68.75</v>
      </c>
    </row>
    <row r="264" spans="1:8" ht="26.25" customHeight="1">
      <c r="A264" s="53"/>
      <c r="B264" s="41" t="s">
        <v>163</v>
      </c>
      <c r="C264" s="45"/>
      <c r="D264" s="16">
        <v>28.5</v>
      </c>
      <c r="E264" s="16">
        <v>18</v>
      </c>
      <c r="F264" s="16">
        <f>28.5-4.2</f>
        <v>24.3</v>
      </c>
      <c r="G264" s="68">
        <f t="shared" si="53"/>
        <v>6.3000000000000007</v>
      </c>
      <c r="H264" s="68">
        <f t="shared" si="54"/>
        <v>135</v>
      </c>
    </row>
    <row r="265" spans="1:8" ht="26.25" customHeight="1">
      <c r="A265" s="53"/>
      <c r="B265" s="41" t="s">
        <v>177</v>
      </c>
      <c r="C265" s="45"/>
      <c r="D265" s="16">
        <v>0.4</v>
      </c>
      <c r="E265" s="16"/>
      <c r="F265" s="16"/>
      <c r="G265" s="68">
        <f t="shared" si="53"/>
        <v>0</v>
      </c>
      <c r="H265" s="68"/>
    </row>
    <row r="266" spans="1:8" ht="26.25" customHeight="1">
      <c r="A266" s="52" t="s">
        <v>334</v>
      </c>
      <c r="B266" s="361" t="s">
        <v>580</v>
      </c>
      <c r="C266" s="362"/>
      <c r="D266" s="16"/>
      <c r="E266" s="16"/>
      <c r="F266" s="15">
        <f>F268</f>
        <v>7</v>
      </c>
      <c r="G266" s="68"/>
      <c r="H266" s="68"/>
    </row>
    <row r="267" spans="1:8" ht="26.25" customHeight="1">
      <c r="A267" s="53"/>
      <c r="B267" s="57" t="s">
        <v>84</v>
      </c>
      <c r="C267" s="45"/>
      <c r="D267" s="16"/>
      <c r="E267" s="16"/>
      <c r="F267" s="16"/>
      <c r="G267" s="68"/>
      <c r="H267" s="68"/>
    </row>
    <row r="268" spans="1:8" ht="26.25" customHeight="1">
      <c r="A268" s="53" t="s">
        <v>629</v>
      </c>
      <c r="B268" s="150" t="s">
        <v>13</v>
      </c>
      <c r="C268" s="142">
        <v>1030</v>
      </c>
      <c r="D268" s="16"/>
      <c r="E268" s="16"/>
      <c r="F268" s="16">
        <f>F269</f>
        <v>7</v>
      </c>
      <c r="G268" s="68"/>
      <c r="H268" s="68"/>
    </row>
    <row r="269" spans="1:8" ht="26.25" customHeight="1">
      <c r="A269" s="53" t="s">
        <v>549</v>
      </c>
      <c r="B269" s="57" t="s">
        <v>91</v>
      </c>
      <c r="C269" s="56">
        <v>1035</v>
      </c>
      <c r="D269" s="16"/>
      <c r="E269" s="16"/>
      <c r="F269" s="16">
        <f>F270+F271+F272</f>
        <v>7</v>
      </c>
      <c r="G269" s="68"/>
      <c r="H269" s="68"/>
    </row>
    <row r="270" spans="1:8" ht="26.25" customHeight="1">
      <c r="A270" s="53"/>
      <c r="B270" s="41" t="s">
        <v>164</v>
      </c>
      <c r="C270" s="45"/>
      <c r="D270" s="16"/>
      <c r="E270" s="16"/>
      <c r="F270" s="16">
        <v>2.1</v>
      </c>
      <c r="G270" s="68"/>
      <c r="H270" s="68"/>
    </row>
    <row r="271" spans="1:8" ht="26.25" customHeight="1">
      <c r="A271" s="53"/>
      <c r="B271" s="41" t="s">
        <v>162</v>
      </c>
      <c r="C271" s="45"/>
      <c r="D271" s="16"/>
      <c r="E271" s="16"/>
      <c r="F271" s="16">
        <v>0.7</v>
      </c>
      <c r="G271" s="68"/>
      <c r="H271" s="68"/>
    </row>
    <row r="272" spans="1:8" ht="26.25" customHeight="1">
      <c r="A272" s="53"/>
      <c r="B272" s="41" t="s">
        <v>163</v>
      </c>
      <c r="C272" s="45"/>
      <c r="D272" s="16"/>
      <c r="E272" s="16"/>
      <c r="F272" s="16">
        <v>4.2</v>
      </c>
      <c r="G272" s="68"/>
      <c r="H272" s="68"/>
    </row>
    <row r="273" spans="1:8" ht="26.25" customHeight="1">
      <c r="A273" s="52" t="s">
        <v>412</v>
      </c>
      <c r="B273" s="366" t="s">
        <v>327</v>
      </c>
      <c r="C273" s="65"/>
      <c r="D273" s="15">
        <f>D275+D298+D303</f>
        <v>2013.5</v>
      </c>
      <c r="E273" s="15">
        <f>E275+E298+E303</f>
        <v>0</v>
      </c>
      <c r="F273" s="15">
        <f>F275+F298+F303</f>
        <v>2173.8000000000002</v>
      </c>
      <c r="G273" s="66">
        <f>F273-E273</f>
        <v>2173.8000000000002</v>
      </c>
      <c r="H273" s="68"/>
    </row>
    <row r="274" spans="1:8" ht="26.25" customHeight="1">
      <c r="A274" s="52"/>
      <c r="B274" s="57" t="s">
        <v>84</v>
      </c>
      <c r="C274" s="65"/>
      <c r="D274" s="15"/>
      <c r="E274" s="15"/>
      <c r="F274" s="15"/>
      <c r="G274" s="66"/>
      <c r="H274" s="68"/>
    </row>
    <row r="275" spans="1:8" ht="26.25" customHeight="1">
      <c r="A275" s="72" t="s">
        <v>550</v>
      </c>
      <c r="B275" s="138" t="s">
        <v>88</v>
      </c>
      <c r="C275" s="69">
        <v>1010</v>
      </c>
      <c r="D275" s="107">
        <f>D276+D286</f>
        <v>2013.2</v>
      </c>
      <c r="E275" s="107"/>
      <c r="F275" s="107">
        <f>F276+F286</f>
        <v>2012.7</v>
      </c>
      <c r="G275" s="136">
        <f t="shared" ref="G275:G305" si="55">F275-E275</f>
        <v>2012.7</v>
      </c>
      <c r="H275" s="136"/>
    </row>
    <row r="276" spans="1:8" ht="26.25" customHeight="1">
      <c r="A276" s="54" t="s">
        <v>551</v>
      </c>
      <c r="B276" s="132" t="s">
        <v>105</v>
      </c>
      <c r="C276" s="56">
        <v>1011</v>
      </c>
      <c r="D276" s="19">
        <f>SUM(D277:D285)</f>
        <v>1891.7</v>
      </c>
      <c r="E276" s="19">
        <f t="shared" ref="E276:F276" si="56">SUM(E277:E285)</f>
        <v>0</v>
      </c>
      <c r="F276" s="19">
        <f t="shared" si="56"/>
        <v>1780.6000000000001</v>
      </c>
      <c r="G276" s="133">
        <f t="shared" si="55"/>
        <v>1780.6000000000001</v>
      </c>
      <c r="H276" s="133"/>
    </row>
    <row r="277" spans="1:8" ht="26.25" customHeight="1">
      <c r="A277" s="52"/>
      <c r="B277" s="96" t="s">
        <v>151</v>
      </c>
      <c r="C277" s="65"/>
      <c r="D277" s="16">
        <v>1193.5</v>
      </c>
      <c r="E277" s="16"/>
      <c r="F277" s="16">
        <f>1378.6+264.7+33.4</f>
        <v>1676.7</v>
      </c>
      <c r="G277" s="68">
        <f t="shared" si="55"/>
        <v>1676.7</v>
      </c>
      <c r="H277" s="68"/>
    </row>
    <row r="278" spans="1:8" ht="26.25" customHeight="1">
      <c r="A278" s="52"/>
      <c r="B278" s="98" t="s">
        <v>185</v>
      </c>
      <c r="C278" s="65"/>
      <c r="D278" s="16">
        <v>637.79999999999995</v>
      </c>
      <c r="E278" s="16"/>
      <c r="F278" s="16"/>
      <c r="G278" s="68"/>
      <c r="H278" s="68"/>
    </row>
    <row r="279" spans="1:8" ht="26.25" customHeight="1">
      <c r="A279" s="52"/>
      <c r="B279" s="98" t="s">
        <v>135</v>
      </c>
      <c r="C279" s="65"/>
      <c r="D279" s="16">
        <v>15.9</v>
      </c>
      <c r="E279" s="16"/>
      <c r="F279" s="16">
        <f>14.8+8+12.2</f>
        <v>35</v>
      </c>
      <c r="G279" s="68">
        <f t="shared" si="55"/>
        <v>35</v>
      </c>
      <c r="H279" s="68"/>
    </row>
    <row r="280" spans="1:8" ht="26.25" customHeight="1">
      <c r="A280" s="52"/>
      <c r="B280" s="98" t="s">
        <v>328</v>
      </c>
      <c r="C280" s="65"/>
      <c r="D280" s="16">
        <v>2.2000000000000002</v>
      </c>
      <c r="E280" s="16"/>
      <c r="F280" s="16">
        <v>0.9</v>
      </c>
      <c r="G280" s="68">
        <f t="shared" si="55"/>
        <v>0.9</v>
      </c>
      <c r="H280" s="68"/>
    </row>
    <row r="281" spans="1:8" ht="36" customHeight="1">
      <c r="A281" s="52"/>
      <c r="B281" s="98" t="s">
        <v>145</v>
      </c>
      <c r="C281" s="65"/>
      <c r="D281" s="16">
        <v>39.1</v>
      </c>
      <c r="E281" s="16"/>
      <c r="F281" s="16">
        <f>50.3+8.1</f>
        <v>58.4</v>
      </c>
      <c r="G281" s="68">
        <f t="shared" si="55"/>
        <v>58.4</v>
      </c>
      <c r="H281" s="68"/>
    </row>
    <row r="282" spans="1:8" ht="26.25" customHeight="1">
      <c r="A282" s="52"/>
      <c r="B282" s="41" t="s">
        <v>146</v>
      </c>
      <c r="C282" s="65"/>
      <c r="D282" s="16"/>
      <c r="E282" s="16"/>
      <c r="F282" s="16">
        <f>0.8+0.1+2.2</f>
        <v>3.1</v>
      </c>
      <c r="G282" s="68">
        <f t="shared" si="55"/>
        <v>3.1</v>
      </c>
      <c r="H282" s="68"/>
    </row>
    <row r="283" spans="1:8" ht="30" customHeight="1">
      <c r="A283" s="52"/>
      <c r="B283" s="41" t="s">
        <v>407</v>
      </c>
      <c r="C283" s="65"/>
      <c r="D283" s="16"/>
      <c r="E283" s="16"/>
      <c r="F283" s="16">
        <v>6.5</v>
      </c>
      <c r="G283" s="68">
        <f t="shared" si="55"/>
        <v>6.5</v>
      </c>
      <c r="H283" s="68"/>
    </row>
    <row r="284" spans="1:8" ht="30" customHeight="1">
      <c r="A284" s="52"/>
      <c r="B284" s="41" t="s">
        <v>522</v>
      </c>
      <c r="C284" s="65"/>
      <c r="D284" s="16">
        <v>1.5</v>
      </c>
      <c r="E284" s="16"/>
      <c r="F284" s="16"/>
      <c r="G284" s="68"/>
      <c r="H284" s="68"/>
    </row>
    <row r="285" spans="1:8" ht="35.25" customHeight="1">
      <c r="A285" s="52"/>
      <c r="B285" s="41" t="s">
        <v>523</v>
      </c>
      <c r="C285" s="65"/>
      <c r="D285" s="16">
        <v>1.7</v>
      </c>
      <c r="E285" s="16"/>
      <c r="F285" s="16"/>
      <c r="G285" s="68"/>
      <c r="H285" s="68"/>
    </row>
    <row r="286" spans="1:8" ht="26.25" customHeight="1">
      <c r="A286" s="54" t="s">
        <v>552</v>
      </c>
      <c r="B286" s="70" t="s">
        <v>94</v>
      </c>
      <c r="C286" s="44">
        <v>1015</v>
      </c>
      <c r="D286" s="19">
        <f>SUM(D287:D297)</f>
        <v>121.49999999999999</v>
      </c>
      <c r="E286" s="19">
        <f t="shared" ref="E286" si="57">SUM(E287:E297)</f>
        <v>0</v>
      </c>
      <c r="F286" s="19">
        <f>SUM(F287:F297)</f>
        <v>232.1</v>
      </c>
      <c r="G286" s="133">
        <f t="shared" si="55"/>
        <v>232.1</v>
      </c>
      <c r="H286" s="133"/>
    </row>
    <row r="287" spans="1:8" ht="26.25" customHeight="1">
      <c r="A287" s="12"/>
      <c r="B287" s="99" t="s">
        <v>329</v>
      </c>
      <c r="C287" s="64"/>
      <c r="D287" s="16">
        <v>3.4</v>
      </c>
      <c r="E287" s="16"/>
      <c r="F287" s="16">
        <f>6.6+1.6+1.2</f>
        <v>9.3999999999999986</v>
      </c>
      <c r="G287" s="68">
        <f t="shared" si="55"/>
        <v>9.3999999999999986</v>
      </c>
      <c r="H287" s="68"/>
    </row>
    <row r="288" spans="1:8" ht="26.25" customHeight="1">
      <c r="A288" s="12"/>
      <c r="B288" s="99" t="s">
        <v>200</v>
      </c>
      <c r="C288" s="64"/>
      <c r="D288" s="16"/>
      <c r="E288" s="16"/>
      <c r="F288" s="16">
        <f>1.7+2.6+15.1</f>
        <v>19.399999999999999</v>
      </c>
      <c r="G288" s="68">
        <f t="shared" si="55"/>
        <v>19.399999999999999</v>
      </c>
      <c r="H288" s="68"/>
    </row>
    <row r="289" spans="1:8" ht="26.25" customHeight="1">
      <c r="A289" s="12"/>
      <c r="B289" s="99" t="s">
        <v>201</v>
      </c>
      <c r="C289" s="64"/>
      <c r="D289" s="16">
        <v>25.2</v>
      </c>
      <c r="E289" s="16"/>
      <c r="F289" s="16">
        <f>13.2+8.6</f>
        <v>21.799999999999997</v>
      </c>
      <c r="G289" s="68">
        <f t="shared" si="55"/>
        <v>21.799999999999997</v>
      </c>
      <c r="H289" s="68"/>
    </row>
    <row r="290" spans="1:8" ht="26.25" customHeight="1">
      <c r="A290" s="12"/>
      <c r="B290" s="99" t="s">
        <v>202</v>
      </c>
      <c r="C290" s="64"/>
      <c r="D290" s="16"/>
      <c r="E290" s="16"/>
      <c r="F290" s="16">
        <v>2.2000000000000002</v>
      </c>
      <c r="G290" s="68"/>
      <c r="H290" s="68"/>
    </row>
    <row r="291" spans="1:8" ht="26.25" customHeight="1">
      <c r="A291" s="12"/>
      <c r="B291" s="99" t="s">
        <v>322</v>
      </c>
      <c r="C291" s="64"/>
      <c r="D291" s="16"/>
      <c r="E291" s="16"/>
      <c r="F291" s="16">
        <v>1.3</v>
      </c>
      <c r="G291" s="68"/>
      <c r="H291" s="68"/>
    </row>
    <row r="292" spans="1:8" ht="26.25" customHeight="1">
      <c r="A292" s="12"/>
      <c r="B292" s="99" t="s">
        <v>323</v>
      </c>
      <c r="C292" s="64"/>
      <c r="D292" s="16"/>
      <c r="E292" s="16"/>
      <c r="F292" s="16">
        <v>2.5</v>
      </c>
      <c r="G292" s="68"/>
      <c r="H292" s="68"/>
    </row>
    <row r="293" spans="1:8" ht="26.25" customHeight="1">
      <c r="A293" s="12"/>
      <c r="B293" s="42" t="s">
        <v>355</v>
      </c>
      <c r="C293" s="64"/>
      <c r="D293" s="16"/>
      <c r="E293" s="16"/>
      <c r="F293" s="16">
        <v>4.8</v>
      </c>
      <c r="G293" s="68"/>
      <c r="H293" s="68"/>
    </row>
    <row r="294" spans="1:8" ht="26.25" customHeight="1">
      <c r="A294" s="12"/>
      <c r="B294" s="99" t="s">
        <v>148</v>
      </c>
      <c r="C294" s="64"/>
      <c r="D294" s="16">
        <v>78.599999999999994</v>
      </c>
      <c r="E294" s="16"/>
      <c r="F294" s="16">
        <f>166.1+80.2+23-100</f>
        <v>169.3</v>
      </c>
      <c r="G294" s="68">
        <f t="shared" si="55"/>
        <v>169.3</v>
      </c>
      <c r="H294" s="68"/>
    </row>
    <row r="295" spans="1:8" ht="26.25" customHeight="1">
      <c r="A295" s="12"/>
      <c r="B295" s="99" t="s">
        <v>524</v>
      </c>
      <c r="C295" s="64"/>
      <c r="D295" s="16">
        <v>13.1</v>
      </c>
      <c r="E295" s="16"/>
      <c r="F295" s="16"/>
      <c r="G295" s="68"/>
      <c r="H295" s="68"/>
    </row>
    <row r="296" spans="1:8" ht="26.25" customHeight="1">
      <c r="A296" s="12"/>
      <c r="B296" s="99" t="s">
        <v>351</v>
      </c>
      <c r="C296" s="64"/>
      <c r="D296" s="16">
        <v>1.2</v>
      </c>
      <c r="E296" s="16"/>
      <c r="F296" s="16"/>
      <c r="G296" s="68"/>
      <c r="H296" s="68"/>
    </row>
    <row r="297" spans="1:8" ht="26.25" customHeight="1">
      <c r="A297" s="12"/>
      <c r="B297" s="99" t="s">
        <v>177</v>
      </c>
      <c r="C297" s="64"/>
      <c r="D297" s="16"/>
      <c r="E297" s="16"/>
      <c r="F297" s="16">
        <v>1.4</v>
      </c>
      <c r="G297" s="68">
        <f t="shared" si="55"/>
        <v>1.4</v>
      </c>
      <c r="H297" s="68"/>
    </row>
    <row r="298" spans="1:8" ht="26.25" customHeight="1">
      <c r="A298" s="72" t="s">
        <v>553</v>
      </c>
      <c r="B298" s="85" t="s">
        <v>90</v>
      </c>
      <c r="C298" s="69">
        <v>1020</v>
      </c>
      <c r="D298" s="15">
        <f t="shared" ref="D298:E298" si="58">D299</f>
        <v>0.3</v>
      </c>
      <c r="E298" s="15">
        <f t="shared" si="58"/>
        <v>0</v>
      </c>
      <c r="F298" s="15">
        <f>F299</f>
        <v>160.70000000000002</v>
      </c>
      <c r="G298" s="66">
        <f t="shared" si="55"/>
        <v>160.70000000000002</v>
      </c>
      <c r="H298" s="66"/>
    </row>
    <row r="299" spans="1:8" ht="26.25" customHeight="1">
      <c r="A299" s="54" t="s">
        <v>554</v>
      </c>
      <c r="B299" s="140" t="s">
        <v>141</v>
      </c>
      <c r="C299" s="56">
        <v>1025</v>
      </c>
      <c r="D299" s="19">
        <f t="shared" ref="D299:E299" si="59">SUM(D300:D302)</f>
        <v>0.3</v>
      </c>
      <c r="E299" s="19">
        <f t="shared" si="59"/>
        <v>0</v>
      </c>
      <c r="F299" s="19">
        <f>SUM(F300:F302)</f>
        <v>160.70000000000002</v>
      </c>
      <c r="G299" s="133">
        <f t="shared" si="55"/>
        <v>160.70000000000002</v>
      </c>
      <c r="H299" s="133"/>
    </row>
    <row r="300" spans="1:8" ht="39.75" customHeight="1">
      <c r="A300" s="52"/>
      <c r="B300" s="41" t="s">
        <v>203</v>
      </c>
      <c r="C300" s="77"/>
      <c r="D300" s="16"/>
      <c r="E300" s="16"/>
      <c r="F300" s="16">
        <f>1.3+0.1</f>
        <v>1.4000000000000001</v>
      </c>
      <c r="G300" s="68">
        <f t="shared" si="55"/>
        <v>1.4000000000000001</v>
      </c>
      <c r="H300" s="68"/>
    </row>
    <row r="301" spans="1:8" ht="24.75" customHeight="1">
      <c r="A301" s="52"/>
      <c r="B301" s="100" t="s">
        <v>397</v>
      </c>
      <c r="C301" s="77"/>
      <c r="D301" s="16">
        <v>0.3</v>
      </c>
      <c r="E301" s="16"/>
      <c r="F301" s="16">
        <f>58.9+100</f>
        <v>158.9</v>
      </c>
      <c r="G301" s="68">
        <f t="shared" si="55"/>
        <v>158.9</v>
      </c>
      <c r="H301" s="68"/>
    </row>
    <row r="302" spans="1:8" ht="26.25" customHeight="1">
      <c r="A302" s="52"/>
      <c r="B302" s="98" t="s">
        <v>579</v>
      </c>
      <c r="C302" s="77"/>
      <c r="D302" s="86"/>
      <c r="E302" s="86"/>
      <c r="F302" s="86">
        <v>0.4</v>
      </c>
      <c r="G302" s="192">
        <f t="shared" si="55"/>
        <v>0.4</v>
      </c>
      <c r="H302" s="192"/>
    </row>
    <row r="303" spans="1:8" ht="26.25" customHeight="1">
      <c r="A303" s="72" t="s">
        <v>555</v>
      </c>
      <c r="B303" s="141" t="s">
        <v>91</v>
      </c>
      <c r="C303" s="69">
        <v>1030</v>
      </c>
      <c r="D303" s="107"/>
      <c r="E303" s="107"/>
      <c r="F303" s="107">
        <f>F304</f>
        <v>0.4</v>
      </c>
      <c r="G303" s="136">
        <f t="shared" si="55"/>
        <v>0.4</v>
      </c>
      <c r="H303" s="136"/>
    </row>
    <row r="304" spans="1:8" ht="26.25" customHeight="1">
      <c r="A304" s="54" t="s">
        <v>556</v>
      </c>
      <c r="B304" s="57" t="s">
        <v>91</v>
      </c>
      <c r="C304" s="56">
        <v>1035</v>
      </c>
      <c r="D304" s="19"/>
      <c r="E304" s="19"/>
      <c r="F304" s="19">
        <f>F305</f>
        <v>0.4</v>
      </c>
      <c r="G304" s="133">
        <f t="shared" si="55"/>
        <v>0.4</v>
      </c>
      <c r="H304" s="133"/>
    </row>
    <row r="305" spans="1:8" ht="26.25" customHeight="1">
      <c r="A305" s="52"/>
      <c r="B305" s="98" t="s">
        <v>330</v>
      </c>
      <c r="C305" s="64"/>
      <c r="D305" s="16"/>
      <c r="E305" s="16"/>
      <c r="F305" s="16">
        <f>0.3+0.1</f>
        <v>0.4</v>
      </c>
      <c r="G305" s="68">
        <f t="shared" si="55"/>
        <v>0.4</v>
      </c>
      <c r="H305" s="68"/>
    </row>
    <row r="306" spans="1:8" ht="26.25" customHeight="1">
      <c r="A306" s="52" t="s">
        <v>413</v>
      </c>
      <c r="B306" s="363" t="s">
        <v>331</v>
      </c>
      <c r="C306" s="46"/>
      <c r="D306" s="15">
        <f>D308+D335</f>
        <v>362.5</v>
      </c>
      <c r="E306" s="15"/>
      <c r="F306" s="15">
        <f>F308+F335</f>
        <v>260</v>
      </c>
      <c r="G306" s="66">
        <f>F306-E306</f>
        <v>260</v>
      </c>
      <c r="H306" s="68"/>
    </row>
    <row r="307" spans="1:8" ht="26.25" customHeight="1">
      <c r="A307" s="53"/>
      <c r="B307" s="43" t="s">
        <v>84</v>
      </c>
      <c r="C307" s="47"/>
      <c r="D307" s="16"/>
      <c r="E307" s="16"/>
      <c r="F307" s="16"/>
      <c r="G307" s="68"/>
      <c r="H307" s="68"/>
    </row>
    <row r="308" spans="1:8" ht="26.25" customHeight="1">
      <c r="A308" s="72" t="s">
        <v>557</v>
      </c>
      <c r="B308" s="141" t="s">
        <v>88</v>
      </c>
      <c r="C308" s="69">
        <v>1010</v>
      </c>
      <c r="D308" s="107">
        <f>D309+D317+D318</f>
        <v>241.9</v>
      </c>
      <c r="E308" s="107"/>
      <c r="F308" s="107">
        <f>F309+F317+F318</f>
        <v>176.8</v>
      </c>
      <c r="G308" s="136">
        <f t="shared" ref="G308:G346" si="60">F308-E308</f>
        <v>176.8</v>
      </c>
      <c r="H308" s="136"/>
    </row>
    <row r="309" spans="1:8" ht="26.25" customHeight="1">
      <c r="A309" s="54" t="s">
        <v>558</v>
      </c>
      <c r="B309" s="132" t="s">
        <v>105</v>
      </c>
      <c r="C309" s="56">
        <v>1011</v>
      </c>
      <c r="D309" s="19">
        <f>SUM(D310:D316)</f>
        <v>98</v>
      </c>
      <c r="E309" s="19">
        <f>SUM(E310:E316)</f>
        <v>0</v>
      </c>
      <c r="F309" s="19">
        <f>SUM(F310:F316)</f>
        <v>95.7</v>
      </c>
      <c r="G309" s="133">
        <f t="shared" si="60"/>
        <v>95.7</v>
      </c>
      <c r="H309" s="133"/>
    </row>
    <row r="310" spans="1:8" ht="42.75" customHeight="1">
      <c r="A310" s="52"/>
      <c r="B310" s="41" t="s">
        <v>186</v>
      </c>
      <c r="C310" s="77"/>
      <c r="D310" s="16">
        <v>90.8</v>
      </c>
      <c r="E310" s="16"/>
      <c r="F310" s="16">
        <v>36.1</v>
      </c>
      <c r="G310" s="68">
        <f t="shared" si="60"/>
        <v>36.1</v>
      </c>
      <c r="H310" s="68"/>
    </row>
    <row r="311" spans="1:8" ht="41.25" customHeight="1">
      <c r="A311" s="53"/>
      <c r="B311" s="41" t="s">
        <v>184</v>
      </c>
      <c r="C311" s="47"/>
      <c r="D311" s="16">
        <v>6.2</v>
      </c>
      <c r="E311" s="16"/>
      <c r="F311" s="16"/>
      <c r="G311" s="68">
        <f t="shared" si="60"/>
        <v>0</v>
      </c>
      <c r="H311" s="68"/>
    </row>
    <row r="312" spans="1:8" ht="23.25" customHeight="1">
      <c r="A312" s="53"/>
      <c r="B312" s="41" t="s">
        <v>407</v>
      </c>
      <c r="C312" s="47"/>
      <c r="D312" s="16"/>
      <c r="E312" s="16"/>
      <c r="F312" s="16">
        <v>10.1</v>
      </c>
      <c r="G312" s="68"/>
      <c r="H312" s="68"/>
    </row>
    <row r="313" spans="1:8" ht="26.25" customHeight="1">
      <c r="A313" s="53"/>
      <c r="B313" s="41" t="s">
        <v>167</v>
      </c>
      <c r="C313" s="47"/>
      <c r="D313" s="16"/>
      <c r="E313" s="16"/>
      <c r="F313" s="16">
        <v>38.9</v>
      </c>
      <c r="G313" s="68">
        <f t="shared" si="60"/>
        <v>38.9</v>
      </c>
      <c r="H313" s="68"/>
    </row>
    <row r="314" spans="1:8" ht="26.25" customHeight="1">
      <c r="A314" s="53"/>
      <c r="B314" s="39" t="s">
        <v>134</v>
      </c>
      <c r="C314" s="47"/>
      <c r="D314" s="16"/>
      <c r="E314" s="16"/>
      <c r="F314" s="16">
        <v>1.2</v>
      </c>
      <c r="G314" s="68">
        <f t="shared" si="60"/>
        <v>1.2</v>
      </c>
      <c r="H314" s="68"/>
    </row>
    <row r="315" spans="1:8" ht="26.25" customHeight="1">
      <c r="A315" s="53"/>
      <c r="B315" s="39" t="s">
        <v>135</v>
      </c>
      <c r="C315" s="47"/>
      <c r="D315" s="16"/>
      <c r="E315" s="16"/>
      <c r="F315" s="16">
        <v>9.4</v>
      </c>
      <c r="G315" s="68">
        <f t="shared" si="60"/>
        <v>9.4</v>
      </c>
      <c r="H315" s="68"/>
    </row>
    <row r="316" spans="1:8" ht="26.25" customHeight="1">
      <c r="A316" s="53"/>
      <c r="B316" s="39" t="s">
        <v>150</v>
      </c>
      <c r="C316" s="47"/>
      <c r="D316" s="16">
        <v>1</v>
      </c>
      <c r="E316" s="16"/>
      <c r="F316" s="16"/>
      <c r="G316" s="68"/>
      <c r="H316" s="68"/>
    </row>
    <row r="317" spans="1:8" ht="26.25" customHeight="1">
      <c r="A317" s="54" t="s">
        <v>559</v>
      </c>
      <c r="B317" s="55" t="s">
        <v>4</v>
      </c>
      <c r="C317" s="44">
        <v>1014</v>
      </c>
      <c r="D317" s="19">
        <v>29.2</v>
      </c>
      <c r="E317" s="19"/>
      <c r="F317" s="19">
        <v>29.7</v>
      </c>
      <c r="G317" s="133">
        <f t="shared" si="60"/>
        <v>29.7</v>
      </c>
      <c r="H317" s="133"/>
    </row>
    <row r="318" spans="1:8" ht="26.25" customHeight="1">
      <c r="A318" s="54" t="s">
        <v>560</v>
      </c>
      <c r="B318" s="67" t="s">
        <v>152</v>
      </c>
      <c r="C318" s="44">
        <v>1015</v>
      </c>
      <c r="D318" s="19">
        <f>SUM(D319:D334)</f>
        <v>114.7</v>
      </c>
      <c r="E318" s="19">
        <f>SUM(E319:E334)</f>
        <v>0</v>
      </c>
      <c r="F318" s="19">
        <f>SUM(F319:F334)</f>
        <v>51.400000000000006</v>
      </c>
      <c r="G318" s="133">
        <f t="shared" si="60"/>
        <v>51.400000000000006</v>
      </c>
      <c r="H318" s="133"/>
    </row>
    <row r="319" spans="1:8" ht="26.25" customHeight="1">
      <c r="A319" s="53"/>
      <c r="B319" s="49" t="s">
        <v>136</v>
      </c>
      <c r="C319" s="47"/>
      <c r="D319" s="16">
        <v>46</v>
      </c>
      <c r="E319" s="16"/>
      <c r="F319" s="16"/>
      <c r="G319" s="68">
        <f t="shared" si="60"/>
        <v>0</v>
      </c>
      <c r="H319" s="68"/>
    </row>
    <row r="320" spans="1:8" ht="26.25" customHeight="1">
      <c r="A320" s="53"/>
      <c r="B320" s="42" t="s">
        <v>201</v>
      </c>
      <c r="C320" s="47"/>
      <c r="D320" s="16">
        <v>3.4</v>
      </c>
      <c r="E320" s="16"/>
      <c r="F320" s="16">
        <v>11.1</v>
      </c>
      <c r="G320" s="68"/>
      <c r="H320" s="68"/>
    </row>
    <row r="321" spans="1:8" ht="26.25" customHeight="1">
      <c r="A321" s="53"/>
      <c r="B321" s="42" t="s">
        <v>202</v>
      </c>
      <c r="C321" s="47"/>
      <c r="D321" s="16">
        <v>2.2999999999999998</v>
      </c>
      <c r="E321" s="16"/>
      <c r="F321" s="16">
        <v>8.1</v>
      </c>
      <c r="G321" s="68"/>
      <c r="H321" s="68"/>
    </row>
    <row r="322" spans="1:8" ht="26.25" customHeight="1">
      <c r="A322" s="53"/>
      <c r="B322" s="42" t="s">
        <v>322</v>
      </c>
      <c r="C322" s="47"/>
      <c r="D322" s="16">
        <v>1.4</v>
      </c>
      <c r="E322" s="16"/>
      <c r="F322" s="16"/>
      <c r="G322" s="68">
        <f t="shared" si="60"/>
        <v>0</v>
      </c>
      <c r="H322" s="68"/>
    </row>
    <row r="323" spans="1:8" ht="26.25" customHeight="1">
      <c r="A323" s="53"/>
      <c r="B323" s="42" t="s">
        <v>355</v>
      </c>
      <c r="C323" s="47"/>
      <c r="D323" s="16">
        <v>9.3000000000000007</v>
      </c>
      <c r="E323" s="16"/>
      <c r="F323" s="16"/>
      <c r="G323" s="68"/>
      <c r="H323" s="68"/>
    </row>
    <row r="324" spans="1:8" ht="26.25" customHeight="1">
      <c r="A324" s="53"/>
      <c r="B324" s="42" t="s">
        <v>323</v>
      </c>
      <c r="C324" s="47"/>
      <c r="D324" s="16">
        <v>7.3</v>
      </c>
      <c r="E324" s="16"/>
      <c r="F324" s="16">
        <v>8.3000000000000007</v>
      </c>
      <c r="G324" s="68">
        <f t="shared" si="60"/>
        <v>8.3000000000000007</v>
      </c>
      <c r="H324" s="68"/>
    </row>
    <row r="325" spans="1:8" ht="36" customHeight="1">
      <c r="A325" s="53"/>
      <c r="B325" s="41" t="s">
        <v>525</v>
      </c>
      <c r="C325" s="47"/>
      <c r="D325" s="16">
        <v>4.7</v>
      </c>
      <c r="E325" s="16"/>
      <c r="F325" s="16"/>
      <c r="G325" s="68"/>
      <c r="H325" s="68"/>
    </row>
    <row r="326" spans="1:8" ht="24" customHeight="1">
      <c r="A326" s="53"/>
      <c r="B326" s="41" t="s">
        <v>147</v>
      </c>
      <c r="C326" s="47"/>
      <c r="D326" s="16">
        <v>2.4</v>
      </c>
      <c r="E326" s="16"/>
      <c r="F326" s="16"/>
      <c r="G326" s="68">
        <f t="shared" si="60"/>
        <v>0</v>
      </c>
      <c r="H326" s="68"/>
    </row>
    <row r="327" spans="1:8" ht="24" customHeight="1">
      <c r="A327" s="53"/>
      <c r="B327" s="41" t="s">
        <v>368</v>
      </c>
      <c r="C327" s="47"/>
      <c r="D327" s="16">
        <v>2.4</v>
      </c>
      <c r="E327" s="16"/>
      <c r="F327" s="16"/>
      <c r="G327" s="68"/>
      <c r="H327" s="68"/>
    </row>
    <row r="328" spans="1:8" ht="24" customHeight="1">
      <c r="A328" s="53"/>
      <c r="B328" s="41" t="s">
        <v>536</v>
      </c>
      <c r="C328" s="47"/>
      <c r="D328" s="16"/>
      <c r="E328" s="16"/>
      <c r="F328" s="16">
        <v>13.9</v>
      </c>
      <c r="G328" s="68"/>
      <c r="H328" s="68"/>
    </row>
    <row r="329" spans="1:8" ht="28.5" customHeight="1">
      <c r="A329" s="53"/>
      <c r="B329" s="41" t="s">
        <v>187</v>
      </c>
      <c r="C329" s="47"/>
      <c r="D329" s="16">
        <v>32.1</v>
      </c>
      <c r="E329" s="16"/>
      <c r="F329" s="16"/>
      <c r="G329" s="68"/>
      <c r="H329" s="68"/>
    </row>
    <row r="330" spans="1:8" ht="28.5" customHeight="1">
      <c r="A330" s="53"/>
      <c r="B330" s="41" t="s">
        <v>162</v>
      </c>
      <c r="C330" s="47"/>
      <c r="D330" s="16"/>
      <c r="E330" s="16"/>
      <c r="F330" s="16">
        <v>0.2</v>
      </c>
      <c r="G330" s="68"/>
      <c r="H330" s="68"/>
    </row>
    <row r="331" spans="1:8" ht="28.5" customHeight="1">
      <c r="A331" s="53"/>
      <c r="B331" s="41" t="s">
        <v>163</v>
      </c>
      <c r="C331" s="47"/>
      <c r="D331" s="16"/>
      <c r="E331" s="16"/>
      <c r="F331" s="16">
        <v>1</v>
      </c>
      <c r="G331" s="68"/>
      <c r="H331" s="68"/>
    </row>
    <row r="332" spans="1:8" ht="24.75" customHeight="1">
      <c r="A332" s="53"/>
      <c r="B332" s="41" t="s">
        <v>325</v>
      </c>
      <c r="C332" s="47"/>
      <c r="D332" s="16">
        <v>1.1000000000000001</v>
      </c>
      <c r="E332" s="16"/>
      <c r="F332" s="16">
        <f>0.7</f>
        <v>0.7</v>
      </c>
      <c r="G332" s="68">
        <f t="shared" si="60"/>
        <v>0.7</v>
      </c>
      <c r="H332" s="68"/>
    </row>
    <row r="333" spans="1:8" ht="24.75" customHeight="1">
      <c r="A333" s="53"/>
      <c r="B333" s="41" t="s">
        <v>143</v>
      </c>
      <c r="C333" s="47"/>
      <c r="D333" s="16"/>
      <c r="E333" s="16"/>
      <c r="F333" s="16">
        <v>8.1</v>
      </c>
      <c r="G333" s="68"/>
      <c r="H333" s="68"/>
    </row>
    <row r="334" spans="1:8" ht="24.75" customHeight="1">
      <c r="A334" s="53"/>
      <c r="B334" s="41" t="s">
        <v>170</v>
      </c>
      <c r="C334" s="47"/>
      <c r="D334" s="16">
        <v>2.2999999999999998</v>
      </c>
      <c r="E334" s="16"/>
      <c r="F334" s="16"/>
      <c r="G334" s="68"/>
      <c r="H334" s="68"/>
    </row>
    <row r="335" spans="1:8" ht="26.25" customHeight="1">
      <c r="A335" s="72" t="s">
        <v>561</v>
      </c>
      <c r="B335" s="141" t="s">
        <v>90</v>
      </c>
      <c r="C335" s="69">
        <v>1020</v>
      </c>
      <c r="D335" s="107">
        <f>D336+D339</f>
        <v>120.6</v>
      </c>
      <c r="E335" s="107"/>
      <c r="F335" s="107">
        <f>F336+F339</f>
        <v>83.2</v>
      </c>
      <c r="G335" s="136">
        <f t="shared" si="60"/>
        <v>83.2</v>
      </c>
      <c r="H335" s="136"/>
    </row>
    <row r="336" spans="1:8" ht="26.25" customHeight="1">
      <c r="A336" s="54" t="s">
        <v>562</v>
      </c>
      <c r="B336" s="132" t="s">
        <v>105</v>
      </c>
      <c r="C336" s="56">
        <v>1021</v>
      </c>
      <c r="D336" s="19">
        <f>SUM(D337:D338)</f>
        <v>0</v>
      </c>
      <c r="E336" s="19">
        <f>SUM(E337:E338)</f>
        <v>0</v>
      </c>
      <c r="F336" s="19">
        <f>SUM(F337:F338)</f>
        <v>34.200000000000003</v>
      </c>
      <c r="G336" s="133">
        <f t="shared" si="60"/>
        <v>34.200000000000003</v>
      </c>
      <c r="H336" s="133"/>
    </row>
    <row r="337" spans="1:8" ht="26.25" customHeight="1">
      <c r="A337" s="53"/>
      <c r="B337" s="41" t="s">
        <v>167</v>
      </c>
      <c r="C337" s="47"/>
      <c r="D337" s="16"/>
      <c r="E337" s="16"/>
      <c r="F337" s="16">
        <v>30.8</v>
      </c>
      <c r="G337" s="68">
        <f t="shared" si="60"/>
        <v>30.8</v>
      </c>
      <c r="H337" s="68"/>
    </row>
    <row r="338" spans="1:8" ht="39" customHeight="1">
      <c r="A338" s="53"/>
      <c r="B338" s="41" t="s">
        <v>186</v>
      </c>
      <c r="C338" s="47"/>
      <c r="D338" s="16"/>
      <c r="E338" s="16"/>
      <c r="F338" s="16">
        <v>3.4</v>
      </c>
      <c r="G338" s="68">
        <f t="shared" si="60"/>
        <v>3.4</v>
      </c>
      <c r="H338" s="68"/>
    </row>
    <row r="339" spans="1:8" ht="26.25" customHeight="1">
      <c r="A339" s="54" t="s">
        <v>563</v>
      </c>
      <c r="B339" s="140" t="s">
        <v>141</v>
      </c>
      <c r="C339" s="56">
        <v>1025</v>
      </c>
      <c r="D339" s="19">
        <f>SUM(D340:D346)</f>
        <v>120.6</v>
      </c>
      <c r="E339" s="19">
        <f>SUM(E340:E346)</f>
        <v>0</v>
      </c>
      <c r="F339" s="19">
        <f>SUM(F340:F346)</f>
        <v>49</v>
      </c>
      <c r="G339" s="133">
        <f t="shared" si="60"/>
        <v>49</v>
      </c>
      <c r="H339" s="133"/>
    </row>
    <row r="340" spans="1:8" ht="26.25" customHeight="1">
      <c r="A340" s="53"/>
      <c r="B340" s="41" t="s">
        <v>354</v>
      </c>
      <c r="C340" s="47"/>
      <c r="D340" s="16"/>
      <c r="E340" s="16"/>
      <c r="F340" s="16">
        <v>1.2</v>
      </c>
      <c r="G340" s="68">
        <f t="shared" si="60"/>
        <v>1.2</v>
      </c>
      <c r="H340" s="68"/>
    </row>
    <row r="341" spans="1:8" ht="26.25" customHeight="1">
      <c r="A341" s="53"/>
      <c r="B341" s="39" t="s">
        <v>346</v>
      </c>
      <c r="C341" s="47"/>
      <c r="D341" s="16"/>
      <c r="E341" s="16"/>
      <c r="F341" s="16">
        <v>1.2</v>
      </c>
      <c r="G341" s="68">
        <f t="shared" si="60"/>
        <v>1.2</v>
      </c>
      <c r="H341" s="68"/>
    </row>
    <row r="342" spans="1:8" ht="26.25" customHeight="1">
      <c r="A342" s="53"/>
      <c r="B342" s="41" t="s">
        <v>324</v>
      </c>
      <c r="C342" s="47"/>
      <c r="D342" s="16"/>
      <c r="E342" s="16"/>
      <c r="F342" s="16">
        <f>14.6+5.6</f>
        <v>20.2</v>
      </c>
      <c r="G342" s="68">
        <f t="shared" si="60"/>
        <v>20.2</v>
      </c>
      <c r="H342" s="68"/>
    </row>
    <row r="343" spans="1:8" ht="26.25" customHeight="1">
      <c r="A343" s="53"/>
      <c r="B343" s="42" t="s">
        <v>322</v>
      </c>
      <c r="C343" s="47"/>
      <c r="D343" s="16"/>
      <c r="E343" s="16"/>
      <c r="F343" s="16">
        <f>3.1+5.1</f>
        <v>8.1999999999999993</v>
      </c>
      <c r="G343" s="68">
        <f t="shared" si="60"/>
        <v>8.1999999999999993</v>
      </c>
      <c r="H343" s="68"/>
    </row>
    <row r="344" spans="1:8" ht="26.25" customHeight="1">
      <c r="A344" s="53"/>
      <c r="B344" s="41" t="s">
        <v>176</v>
      </c>
      <c r="C344" s="47"/>
      <c r="D344" s="16">
        <v>120.6</v>
      </c>
      <c r="E344" s="16"/>
      <c r="F344" s="16"/>
      <c r="G344" s="68">
        <f t="shared" si="60"/>
        <v>0</v>
      </c>
      <c r="H344" s="68"/>
    </row>
    <row r="345" spans="1:8" ht="26.25" customHeight="1">
      <c r="A345" s="53"/>
      <c r="B345" s="39" t="s">
        <v>169</v>
      </c>
      <c r="C345" s="47"/>
      <c r="D345" s="16"/>
      <c r="E345" s="16"/>
      <c r="F345" s="16">
        <v>5</v>
      </c>
      <c r="G345" s="68">
        <f t="shared" si="60"/>
        <v>5</v>
      </c>
      <c r="H345" s="68"/>
    </row>
    <row r="346" spans="1:8" ht="26.25" customHeight="1">
      <c r="A346" s="53"/>
      <c r="B346" s="41" t="s">
        <v>153</v>
      </c>
      <c r="C346" s="47"/>
      <c r="D346" s="16"/>
      <c r="E346" s="16"/>
      <c r="F346" s="16">
        <v>13.2</v>
      </c>
      <c r="G346" s="68">
        <f t="shared" si="60"/>
        <v>13.2</v>
      </c>
      <c r="H346" s="68"/>
    </row>
    <row r="347" spans="1:8" ht="26.25" customHeight="1">
      <c r="A347" s="52" t="s">
        <v>335</v>
      </c>
      <c r="B347" s="367" t="s">
        <v>521</v>
      </c>
      <c r="C347" s="47"/>
      <c r="D347" s="15">
        <f>D349+D352</f>
        <v>17</v>
      </c>
      <c r="E347" s="16"/>
      <c r="F347" s="16"/>
      <c r="G347" s="68"/>
      <c r="H347" s="68"/>
    </row>
    <row r="348" spans="1:8" ht="26.25" customHeight="1">
      <c r="A348" s="12"/>
      <c r="B348" s="43" t="s">
        <v>84</v>
      </c>
      <c r="C348" s="6"/>
      <c r="D348" s="16"/>
      <c r="E348" s="16"/>
      <c r="F348" s="16"/>
      <c r="G348" s="68"/>
      <c r="H348" s="68"/>
    </row>
    <row r="349" spans="1:8" ht="26.25" customHeight="1">
      <c r="A349" s="72" t="s">
        <v>630</v>
      </c>
      <c r="B349" s="138" t="s">
        <v>88</v>
      </c>
      <c r="C349" s="69">
        <v>1010</v>
      </c>
      <c r="D349" s="16">
        <f>D350</f>
        <v>12.6</v>
      </c>
      <c r="E349" s="16"/>
      <c r="F349" s="16"/>
      <c r="G349" s="68"/>
      <c r="H349" s="68"/>
    </row>
    <row r="350" spans="1:8" ht="26.25" customHeight="1">
      <c r="A350" s="54" t="s">
        <v>631</v>
      </c>
      <c r="B350" s="55" t="s">
        <v>94</v>
      </c>
      <c r="C350" s="44">
        <v>1015</v>
      </c>
      <c r="D350" s="16">
        <f>D351</f>
        <v>12.6</v>
      </c>
      <c r="E350" s="16"/>
      <c r="F350" s="16"/>
      <c r="G350" s="68"/>
      <c r="H350" s="68"/>
    </row>
    <row r="351" spans="1:8" ht="26.25" customHeight="1">
      <c r="A351" s="53"/>
      <c r="B351" s="41" t="s">
        <v>201</v>
      </c>
      <c r="C351" s="47"/>
      <c r="D351" s="16">
        <v>12.6</v>
      </c>
      <c r="E351" s="16"/>
      <c r="F351" s="16"/>
      <c r="G351" s="68"/>
      <c r="H351" s="68"/>
    </row>
    <row r="352" spans="1:8" ht="26.25" customHeight="1">
      <c r="A352" s="72" t="s">
        <v>632</v>
      </c>
      <c r="B352" s="141" t="s">
        <v>90</v>
      </c>
      <c r="C352" s="69">
        <v>1020</v>
      </c>
      <c r="D352" s="16">
        <f>D353</f>
        <v>4.4000000000000004</v>
      </c>
      <c r="E352" s="16"/>
      <c r="F352" s="16"/>
      <c r="G352" s="68"/>
      <c r="H352" s="68"/>
    </row>
    <row r="353" spans="1:8" ht="26.25" customHeight="1">
      <c r="A353" s="54" t="s">
        <v>633</v>
      </c>
      <c r="B353" s="140" t="s">
        <v>141</v>
      </c>
      <c r="C353" s="56">
        <v>1025</v>
      </c>
      <c r="D353" s="16">
        <f>D354</f>
        <v>4.4000000000000004</v>
      </c>
      <c r="E353" s="16"/>
      <c r="F353" s="16"/>
      <c r="G353" s="68"/>
      <c r="H353" s="68"/>
    </row>
    <row r="354" spans="1:8" ht="26.25" customHeight="1">
      <c r="A354" s="53"/>
      <c r="B354" s="41" t="s">
        <v>354</v>
      </c>
      <c r="C354" s="47"/>
      <c r="D354" s="16">
        <v>4.4000000000000004</v>
      </c>
      <c r="E354" s="16"/>
      <c r="F354" s="16"/>
      <c r="G354" s="68"/>
      <c r="H354" s="68"/>
    </row>
    <row r="355" spans="1:8" ht="26.25" customHeight="1">
      <c r="A355" s="52" t="s">
        <v>634</v>
      </c>
      <c r="B355" s="367" t="s">
        <v>353</v>
      </c>
      <c r="C355" s="64"/>
      <c r="D355" s="15">
        <f>D357+D360</f>
        <v>26.5</v>
      </c>
      <c r="E355" s="15">
        <f>E357+E360</f>
        <v>33.6</v>
      </c>
      <c r="F355" s="15">
        <f>F357+F360</f>
        <v>30.1</v>
      </c>
      <c r="G355" s="66">
        <f>F355-E355</f>
        <v>-3.5</v>
      </c>
      <c r="H355" s="66">
        <f>F355/E355*100</f>
        <v>89.583333333333343</v>
      </c>
    </row>
    <row r="356" spans="1:8" ht="26.25" customHeight="1">
      <c r="A356" s="12"/>
      <c r="B356" s="43" t="s">
        <v>84</v>
      </c>
      <c r="C356" s="6"/>
      <c r="D356" s="16"/>
      <c r="E356" s="16"/>
      <c r="F356" s="16"/>
      <c r="G356" s="68"/>
      <c r="H356" s="68"/>
    </row>
    <row r="357" spans="1:8" ht="45" customHeight="1">
      <c r="A357" s="72" t="s">
        <v>635</v>
      </c>
      <c r="B357" s="138" t="s">
        <v>88</v>
      </c>
      <c r="C357" s="69">
        <v>1010</v>
      </c>
      <c r="D357" s="107">
        <f t="shared" ref="D357:F358" si="61">D358</f>
        <v>26.5</v>
      </c>
      <c r="E357" s="107">
        <f t="shared" si="61"/>
        <v>28.4</v>
      </c>
      <c r="F357" s="107">
        <f t="shared" si="61"/>
        <v>26.6</v>
      </c>
      <c r="G357" s="136">
        <f t="shared" ref="G357:G362" si="62">F357-E357</f>
        <v>-1.7999999999999972</v>
      </c>
      <c r="H357" s="136">
        <f t="shared" ref="H357:H362" si="63">(F357/E357)*100</f>
        <v>93.661971830985919</v>
      </c>
    </row>
    <row r="358" spans="1:8" ht="26.25" customHeight="1">
      <c r="A358" s="54" t="s">
        <v>636</v>
      </c>
      <c r="B358" s="55" t="s">
        <v>94</v>
      </c>
      <c r="C358" s="44">
        <v>1015</v>
      </c>
      <c r="D358" s="19">
        <f t="shared" si="61"/>
        <v>26.5</v>
      </c>
      <c r="E358" s="19">
        <f t="shared" si="61"/>
        <v>28.4</v>
      </c>
      <c r="F358" s="19">
        <f t="shared" si="61"/>
        <v>26.6</v>
      </c>
      <c r="G358" s="133">
        <f t="shared" si="62"/>
        <v>-1.7999999999999972</v>
      </c>
      <c r="H358" s="133">
        <f t="shared" si="63"/>
        <v>93.661971830985919</v>
      </c>
    </row>
    <row r="359" spans="1:8" ht="26.25" customHeight="1">
      <c r="A359" s="53"/>
      <c r="B359" s="41" t="s">
        <v>201</v>
      </c>
      <c r="C359" s="47"/>
      <c r="D359" s="16">
        <v>26.5</v>
      </c>
      <c r="E359" s="16">
        <v>28.4</v>
      </c>
      <c r="F359" s="16">
        <v>26.6</v>
      </c>
      <c r="G359" s="68">
        <f t="shared" si="62"/>
        <v>-1.7999999999999972</v>
      </c>
      <c r="H359" s="68">
        <f t="shared" si="63"/>
        <v>93.661971830985919</v>
      </c>
    </row>
    <row r="360" spans="1:8" ht="26.25" customHeight="1">
      <c r="A360" s="72" t="s">
        <v>637</v>
      </c>
      <c r="B360" s="141" t="s">
        <v>90</v>
      </c>
      <c r="C360" s="69">
        <v>1020</v>
      </c>
      <c r="D360" s="107">
        <f t="shared" ref="D360:F361" si="64">D361</f>
        <v>0</v>
      </c>
      <c r="E360" s="107">
        <f t="shared" si="64"/>
        <v>5.2</v>
      </c>
      <c r="F360" s="107">
        <f t="shared" si="64"/>
        <v>3.5</v>
      </c>
      <c r="G360" s="136">
        <f t="shared" si="62"/>
        <v>-1.7000000000000002</v>
      </c>
      <c r="H360" s="136">
        <f t="shared" si="63"/>
        <v>67.307692307692307</v>
      </c>
    </row>
    <row r="361" spans="1:8" ht="26.25" customHeight="1">
      <c r="A361" s="54" t="s">
        <v>638</v>
      </c>
      <c r="B361" s="140" t="s">
        <v>141</v>
      </c>
      <c r="C361" s="56">
        <v>1025</v>
      </c>
      <c r="D361" s="19">
        <f t="shared" si="64"/>
        <v>0</v>
      </c>
      <c r="E361" s="19">
        <f t="shared" si="64"/>
        <v>5.2</v>
      </c>
      <c r="F361" s="19">
        <f t="shared" si="64"/>
        <v>3.5</v>
      </c>
      <c r="G361" s="133">
        <f t="shared" si="62"/>
        <v>-1.7000000000000002</v>
      </c>
      <c r="H361" s="133">
        <f t="shared" si="63"/>
        <v>67.307692307692307</v>
      </c>
    </row>
    <row r="362" spans="1:8" ht="26.25" customHeight="1">
      <c r="A362" s="52"/>
      <c r="B362" s="39" t="s">
        <v>354</v>
      </c>
      <c r="C362" s="77"/>
      <c r="D362" s="16"/>
      <c r="E362" s="16">
        <v>5.2</v>
      </c>
      <c r="F362" s="16">
        <v>3.5</v>
      </c>
      <c r="G362" s="68">
        <f t="shared" si="62"/>
        <v>-1.7000000000000002</v>
      </c>
      <c r="H362" s="68">
        <f t="shared" si="63"/>
        <v>67.307692307692307</v>
      </c>
    </row>
    <row r="363" spans="1:8" ht="26.25" customHeight="1">
      <c r="A363" s="52" t="s">
        <v>639</v>
      </c>
      <c r="B363" s="368" t="s">
        <v>403</v>
      </c>
      <c r="C363" s="77"/>
      <c r="D363" s="16"/>
      <c r="E363" s="16"/>
      <c r="F363" s="15">
        <f>F365</f>
        <v>16.2</v>
      </c>
      <c r="G363" s="66">
        <f>F363-E363</f>
        <v>16.2</v>
      </c>
      <c r="H363" s="68"/>
    </row>
    <row r="364" spans="1:8" ht="26.25" customHeight="1">
      <c r="A364" s="12"/>
      <c r="B364" s="43" t="s">
        <v>84</v>
      </c>
      <c r="C364" s="6"/>
      <c r="D364" s="16"/>
      <c r="E364" s="16"/>
      <c r="F364" s="16"/>
      <c r="G364" s="68"/>
      <c r="H364" s="68"/>
    </row>
    <row r="365" spans="1:8" ht="26.25" customHeight="1">
      <c r="A365" s="72" t="s">
        <v>640</v>
      </c>
      <c r="B365" s="141" t="s">
        <v>91</v>
      </c>
      <c r="C365" s="69">
        <v>1030</v>
      </c>
      <c r="D365" s="107"/>
      <c r="E365" s="107"/>
      <c r="F365" s="107">
        <f>F366</f>
        <v>16.2</v>
      </c>
      <c r="G365" s="136">
        <f t="shared" ref="G365:G367" si="65">F365-E365</f>
        <v>16.2</v>
      </c>
      <c r="H365" s="136"/>
    </row>
    <row r="366" spans="1:8" ht="27" customHeight="1">
      <c r="A366" s="54" t="s">
        <v>641</v>
      </c>
      <c r="B366" s="57" t="s">
        <v>91</v>
      </c>
      <c r="C366" s="56">
        <v>1035</v>
      </c>
      <c r="D366" s="19"/>
      <c r="E366" s="19"/>
      <c r="F366" s="19">
        <f>F367</f>
        <v>16.2</v>
      </c>
      <c r="G366" s="133">
        <f t="shared" si="65"/>
        <v>16.2</v>
      </c>
      <c r="H366" s="133"/>
    </row>
    <row r="367" spans="1:8" ht="26.25" customHeight="1">
      <c r="A367" s="52"/>
      <c r="B367" s="39" t="s">
        <v>402</v>
      </c>
      <c r="C367" s="77"/>
      <c r="D367" s="16"/>
      <c r="E367" s="16"/>
      <c r="F367" s="16">
        <v>16.2</v>
      </c>
      <c r="G367" s="68">
        <f t="shared" si="65"/>
        <v>16.2</v>
      </c>
      <c r="H367" s="68"/>
    </row>
    <row r="368" spans="1:8" ht="39" customHeight="1">
      <c r="A368" s="52" t="s">
        <v>406</v>
      </c>
      <c r="B368" s="71" t="s">
        <v>564</v>
      </c>
      <c r="C368" s="64"/>
      <c r="D368" s="15">
        <f>D369</f>
        <v>6.7</v>
      </c>
      <c r="E368" s="15">
        <f t="shared" ref="E368:F368" si="66">E369</f>
        <v>0</v>
      </c>
      <c r="F368" s="15">
        <f t="shared" si="66"/>
        <v>8.1999999999999993</v>
      </c>
      <c r="G368" s="66">
        <f>F368-E368</f>
        <v>8.1999999999999993</v>
      </c>
      <c r="H368" s="68"/>
    </row>
    <row r="369" spans="1:8" ht="26.25" customHeight="1">
      <c r="A369" s="72" t="s">
        <v>414</v>
      </c>
      <c r="B369" s="141" t="s">
        <v>91</v>
      </c>
      <c r="C369" s="69">
        <v>1030</v>
      </c>
      <c r="D369" s="107">
        <f>D370</f>
        <v>6.7</v>
      </c>
      <c r="E369" s="107"/>
      <c r="F369" s="107">
        <f>F370</f>
        <v>8.1999999999999993</v>
      </c>
      <c r="G369" s="136">
        <f t="shared" ref="G369:G377" si="67">F369-E369</f>
        <v>8.1999999999999993</v>
      </c>
      <c r="H369" s="136"/>
    </row>
    <row r="370" spans="1:8" ht="26.25" customHeight="1">
      <c r="A370" s="54" t="s">
        <v>642</v>
      </c>
      <c r="B370" s="57" t="s">
        <v>91</v>
      </c>
      <c r="C370" s="56">
        <v>1035</v>
      </c>
      <c r="D370" s="19">
        <f>D371</f>
        <v>6.7</v>
      </c>
      <c r="E370" s="19"/>
      <c r="F370" s="19">
        <f>F371</f>
        <v>8.1999999999999993</v>
      </c>
      <c r="G370" s="133">
        <f t="shared" si="67"/>
        <v>8.1999999999999993</v>
      </c>
      <c r="H370" s="133"/>
    </row>
    <row r="371" spans="1:8" ht="26.25" customHeight="1">
      <c r="A371" s="58"/>
      <c r="B371" s="49" t="s">
        <v>188</v>
      </c>
      <c r="C371" s="46"/>
      <c r="D371" s="16">
        <v>6.7</v>
      </c>
      <c r="E371" s="16"/>
      <c r="F371" s="16">
        <f>5.3+2.9</f>
        <v>8.1999999999999993</v>
      </c>
      <c r="G371" s="68">
        <f t="shared" si="67"/>
        <v>8.1999999999999993</v>
      </c>
      <c r="H371" s="68"/>
    </row>
    <row r="372" spans="1:8" ht="26.25" customHeight="1">
      <c r="A372" s="360" t="s">
        <v>431</v>
      </c>
      <c r="B372" s="361" t="s">
        <v>654</v>
      </c>
      <c r="C372" s="360"/>
      <c r="D372" s="15"/>
      <c r="E372" s="15"/>
      <c r="F372" s="15">
        <f>F374</f>
        <v>79.2</v>
      </c>
      <c r="G372" s="66"/>
      <c r="H372" s="66"/>
    </row>
    <row r="373" spans="1:8" ht="26.25" customHeight="1">
      <c r="A373" s="46"/>
      <c r="B373" s="43" t="s">
        <v>84</v>
      </c>
      <c r="C373" s="47"/>
      <c r="D373" s="16"/>
      <c r="E373" s="16"/>
      <c r="F373" s="16"/>
      <c r="G373" s="68"/>
      <c r="H373" s="68"/>
    </row>
    <row r="374" spans="1:8" ht="26.25" customHeight="1">
      <c r="A374" s="46" t="s">
        <v>643</v>
      </c>
      <c r="B374" s="141" t="s">
        <v>88</v>
      </c>
      <c r="C374" s="69">
        <v>1010</v>
      </c>
      <c r="D374" s="16"/>
      <c r="E374" s="16"/>
      <c r="F374" s="16">
        <f>F375</f>
        <v>79.2</v>
      </c>
      <c r="G374" s="68"/>
      <c r="H374" s="68"/>
    </row>
    <row r="375" spans="1:8" ht="26.25" customHeight="1">
      <c r="A375" s="54" t="s">
        <v>644</v>
      </c>
      <c r="B375" s="132" t="s">
        <v>105</v>
      </c>
      <c r="C375" s="56">
        <v>1011</v>
      </c>
      <c r="D375" s="16"/>
      <c r="E375" s="16"/>
      <c r="F375" s="16">
        <f>F376</f>
        <v>79.2</v>
      </c>
      <c r="G375" s="68"/>
      <c r="H375" s="68"/>
    </row>
    <row r="376" spans="1:8" ht="39.75" customHeight="1">
      <c r="A376" s="46"/>
      <c r="B376" s="41" t="s">
        <v>186</v>
      </c>
      <c r="C376" s="45"/>
      <c r="D376" s="16"/>
      <c r="E376" s="16"/>
      <c r="F376" s="16">
        <v>79.2</v>
      </c>
      <c r="G376" s="68"/>
      <c r="H376" s="68"/>
    </row>
    <row r="377" spans="1:8" ht="26.25" customHeight="1">
      <c r="A377" s="52" t="s">
        <v>645</v>
      </c>
      <c r="B377" s="71" t="s">
        <v>332</v>
      </c>
      <c r="C377" s="77"/>
      <c r="D377" s="15">
        <f>D379+D382</f>
        <v>1572.8999999999999</v>
      </c>
      <c r="E377" s="15">
        <f t="shared" ref="E377:F377" si="68">E379+E382</f>
        <v>0</v>
      </c>
      <c r="F377" s="15">
        <f t="shared" si="68"/>
        <v>1875.8999999999999</v>
      </c>
      <c r="G377" s="66">
        <f t="shared" si="67"/>
        <v>1875.8999999999999</v>
      </c>
      <c r="H377" s="68"/>
    </row>
    <row r="378" spans="1:8" ht="26.25" customHeight="1">
      <c r="A378" s="101"/>
      <c r="B378" s="43" t="s">
        <v>84</v>
      </c>
      <c r="C378" s="102"/>
      <c r="D378" s="16"/>
      <c r="E378" s="16"/>
      <c r="F378" s="16"/>
      <c r="G378" s="68"/>
      <c r="H378" s="68"/>
    </row>
    <row r="379" spans="1:8" ht="26.25" customHeight="1">
      <c r="A379" s="151" t="s">
        <v>646</v>
      </c>
      <c r="B379" s="152" t="s">
        <v>88</v>
      </c>
      <c r="C379" s="142">
        <v>1010</v>
      </c>
      <c r="D379" s="107">
        <f>D380</f>
        <v>1471.3</v>
      </c>
      <c r="E379" s="107"/>
      <c r="F379" s="107">
        <f>F380</f>
        <v>1630.8</v>
      </c>
      <c r="G379" s="136">
        <f t="shared" ref="G379:G382" si="69">F379-E379</f>
        <v>1630.8</v>
      </c>
      <c r="H379" s="136"/>
    </row>
    <row r="380" spans="1:8" ht="26.25" customHeight="1">
      <c r="A380" s="54" t="s">
        <v>647</v>
      </c>
      <c r="B380" s="67" t="s">
        <v>4</v>
      </c>
      <c r="C380" s="56">
        <v>1014</v>
      </c>
      <c r="D380" s="19">
        <f>D381</f>
        <v>1471.3</v>
      </c>
      <c r="E380" s="19"/>
      <c r="F380" s="19">
        <f>F381</f>
        <v>1630.8</v>
      </c>
      <c r="G380" s="133">
        <f>F380-E380</f>
        <v>1630.8</v>
      </c>
      <c r="H380" s="133"/>
    </row>
    <row r="381" spans="1:8" ht="26.25" customHeight="1">
      <c r="A381" s="52"/>
      <c r="B381" s="49" t="s">
        <v>196</v>
      </c>
      <c r="C381" s="77"/>
      <c r="D381" s="16">
        <v>1471.3</v>
      </c>
      <c r="E381" s="16"/>
      <c r="F381" s="16">
        <v>1630.8</v>
      </c>
      <c r="G381" s="68">
        <f t="shared" si="69"/>
        <v>1630.8</v>
      </c>
      <c r="H381" s="68"/>
    </row>
    <row r="382" spans="1:8" ht="26.25" customHeight="1">
      <c r="A382" s="72" t="s">
        <v>650</v>
      </c>
      <c r="B382" s="135" t="s">
        <v>90</v>
      </c>
      <c r="C382" s="142">
        <v>1020</v>
      </c>
      <c r="D382" s="107">
        <f>D383</f>
        <v>101.6</v>
      </c>
      <c r="E382" s="107"/>
      <c r="F382" s="107">
        <f>F383</f>
        <v>245.1</v>
      </c>
      <c r="G382" s="136">
        <f t="shared" si="69"/>
        <v>245.1</v>
      </c>
      <c r="H382" s="136"/>
    </row>
    <row r="383" spans="1:8" ht="26.25" customHeight="1">
      <c r="A383" s="54" t="s">
        <v>651</v>
      </c>
      <c r="B383" s="67" t="s">
        <v>4</v>
      </c>
      <c r="C383" s="56">
        <v>1024</v>
      </c>
      <c r="D383" s="19">
        <f>D384</f>
        <v>101.6</v>
      </c>
      <c r="E383" s="19"/>
      <c r="F383" s="19">
        <f>F384</f>
        <v>245.1</v>
      </c>
      <c r="G383" s="133">
        <f>F383-E383</f>
        <v>245.1</v>
      </c>
      <c r="H383" s="133"/>
    </row>
    <row r="384" spans="1:8" ht="26.25" customHeight="1">
      <c r="A384" s="52"/>
      <c r="B384" s="49" t="s">
        <v>196</v>
      </c>
      <c r="C384" s="58"/>
      <c r="D384" s="16">
        <v>101.6</v>
      </c>
      <c r="E384" s="16"/>
      <c r="F384" s="16">
        <v>245.1</v>
      </c>
      <c r="G384" s="68"/>
      <c r="H384" s="68"/>
    </row>
    <row r="385" spans="1:8" ht="26.25" customHeight="1">
      <c r="B385" s="73"/>
      <c r="D385" s="340"/>
      <c r="E385" s="74"/>
      <c r="F385" s="74"/>
    </row>
    <row r="386" spans="1:8" ht="26.25" customHeight="1">
      <c r="B386" s="161" t="s">
        <v>432</v>
      </c>
      <c r="C386" s="17"/>
      <c r="D386" s="413"/>
      <c r="E386" s="413"/>
      <c r="F386" s="104"/>
      <c r="G386" s="399" t="s">
        <v>520</v>
      </c>
      <c r="H386" s="399"/>
    </row>
    <row r="387" spans="1:8" ht="26.25" customHeight="1">
      <c r="B387" s="339" t="s">
        <v>59</v>
      </c>
      <c r="C387" s="18"/>
      <c r="D387" s="405" t="s">
        <v>65</v>
      </c>
      <c r="E387" s="405"/>
      <c r="F387" s="337"/>
      <c r="G387" s="414" t="s">
        <v>18</v>
      </c>
      <c r="H387" s="414"/>
    </row>
    <row r="388" spans="1:8" ht="26.25" customHeight="1">
      <c r="B388" s="73"/>
      <c r="D388" s="340"/>
      <c r="E388" s="74"/>
      <c r="F388" s="74"/>
    </row>
    <row r="389" spans="1:8" ht="26.25" customHeight="1">
      <c r="B389" s="73"/>
      <c r="D389" s="340"/>
      <c r="E389" s="74"/>
      <c r="F389" s="74"/>
    </row>
    <row r="390" spans="1:8" ht="26.25" customHeight="1">
      <c r="B390" s="73"/>
      <c r="D390" s="340"/>
      <c r="E390" s="74"/>
      <c r="F390" s="74"/>
    </row>
    <row r="391" spans="1:8" s="75" customFormat="1" ht="26.25" customHeight="1">
      <c r="A391" s="18"/>
      <c r="B391" s="73"/>
      <c r="C391" s="339"/>
      <c r="D391" s="340"/>
      <c r="E391" s="74"/>
      <c r="F391" s="74"/>
      <c r="G391" s="18"/>
      <c r="H391" s="18"/>
    </row>
    <row r="392" spans="1:8" s="75" customFormat="1" ht="26.25" customHeight="1">
      <c r="A392" s="18"/>
      <c r="B392" s="73"/>
      <c r="C392" s="339"/>
      <c r="D392" s="340"/>
      <c r="E392" s="74"/>
      <c r="F392" s="74"/>
      <c r="G392" s="18"/>
      <c r="H392" s="18"/>
    </row>
    <row r="393" spans="1:8" s="75" customFormat="1" ht="26.25" customHeight="1">
      <c r="A393" s="18"/>
      <c r="B393" s="73"/>
      <c r="C393" s="339"/>
      <c r="D393" s="340"/>
      <c r="E393" s="74"/>
      <c r="F393" s="74"/>
      <c r="G393" s="18"/>
      <c r="H393" s="18"/>
    </row>
    <row r="394" spans="1:8" s="75" customFormat="1" ht="26.25" customHeight="1">
      <c r="A394" s="18"/>
      <c r="B394" s="73"/>
      <c r="C394" s="339"/>
      <c r="D394" s="340"/>
      <c r="E394" s="74"/>
      <c r="F394" s="74"/>
      <c r="G394" s="18"/>
      <c r="H394" s="18"/>
    </row>
    <row r="395" spans="1:8" s="75" customFormat="1" ht="26.25" customHeight="1">
      <c r="A395" s="18"/>
      <c r="B395" s="73"/>
      <c r="C395" s="339"/>
      <c r="D395" s="340"/>
      <c r="E395" s="74"/>
      <c r="F395" s="74"/>
      <c r="G395" s="18"/>
      <c r="H395" s="18"/>
    </row>
    <row r="396" spans="1:8" s="75" customFormat="1" ht="26.25" customHeight="1">
      <c r="A396" s="18"/>
      <c r="B396" s="73"/>
      <c r="C396" s="339"/>
      <c r="D396" s="340"/>
      <c r="E396" s="74"/>
      <c r="F396" s="74"/>
      <c r="G396" s="18"/>
      <c r="H396" s="18"/>
    </row>
    <row r="397" spans="1:8" s="75" customFormat="1" ht="26.25" customHeight="1">
      <c r="A397" s="18"/>
      <c r="B397" s="73"/>
      <c r="C397" s="339"/>
      <c r="D397" s="340"/>
      <c r="E397" s="74"/>
      <c r="F397" s="74"/>
      <c r="G397" s="18"/>
      <c r="H397" s="18"/>
    </row>
    <row r="398" spans="1:8" s="75" customFormat="1" ht="26.25" customHeight="1">
      <c r="A398" s="18"/>
      <c r="B398" s="73"/>
      <c r="C398" s="339"/>
      <c r="D398" s="340"/>
      <c r="E398" s="74"/>
      <c r="F398" s="74"/>
      <c r="G398" s="18"/>
      <c r="H398" s="18"/>
    </row>
    <row r="399" spans="1:8" s="75" customFormat="1" ht="26.25" customHeight="1">
      <c r="A399" s="18"/>
      <c r="B399" s="73"/>
      <c r="C399" s="339"/>
      <c r="D399" s="340"/>
      <c r="E399" s="74"/>
      <c r="F399" s="74"/>
      <c r="G399" s="18"/>
      <c r="H399" s="18"/>
    </row>
    <row r="400" spans="1:8" s="75" customFormat="1" ht="26.25" customHeight="1">
      <c r="A400" s="18"/>
      <c r="B400" s="73"/>
      <c r="C400" s="339"/>
      <c r="D400" s="340"/>
      <c r="E400" s="74"/>
      <c r="F400" s="74"/>
      <c r="G400" s="18"/>
      <c r="H400" s="18"/>
    </row>
    <row r="401" spans="1:8" s="75" customFormat="1" ht="26.25" customHeight="1">
      <c r="A401" s="18"/>
      <c r="B401" s="73"/>
      <c r="C401" s="339"/>
      <c r="D401" s="340"/>
      <c r="E401" s="74"/>
      <c r="F401" s="74"/>
      <c r="G401" s="18"/>
      <c r="H401" s="18"/>
    </row>
    <row r="402" spans="1:8" s="75" customFormat="1" ht="26.25" customHeight="1">
      <c r="A402" s="18"/>
      <c r="B402" s="73"/>
      <c r="C402" s="339"/>
      <c r="D402" s="340"/>
      <c r="E402" s="74"/>
      <c r="F402" s="74"/>
      <c r="G402" s="18"/>
      <c r="H402" s="18"/>
    </row>
    <row r="403" spans="1:8" s="75" customFormat="1" ht="26.25" customHeight="1">
      <c r="A403" s="18"/>
      <c r="B403" s="73"/>
      <c r="C403" s="339"/>
      <c r="D403" s="340"/>
      <c r="E403" s="74"/>
      <c r="F403" s="74"/>
      <c r="G403" s="18"/>
      <c r="H403" s="18"/>
    </row>
    <row r="404" spans="1:8" s="75" customFormat="1" ht="26.25" customHeight="1">
      <c r="A404" s="18"/>
      <c r="B404" s="73"/>
      <c r="C404" s="339"/>
      <c r="D404" s="340"/>
      <c r="E404" s="74"/>
      <c r="F404" s="74"/>
      <c r="G404" s="18"/>
      <c r="H404" s="18"/>
    </row>
    <row r="405" spans="1:8" s="75" customFormat="1" ht="26.25" customHeight="1">
      <c r="A405" s="18"/>
      <c r="B405" s="73"/>
      <c r="C405" s="339"/>
      <c r="D405" s="340"/>
      <c r="E405" s="74"/>
      <c r="F405" s="74"/>
      <c r="G405" s="18"/>
      <c r="H405" s="18"/>
    </row>
    <row r="406" spans="1:8" s="75" customFormat="1" ht="26.25" customHeight="1">
      <c r="A406" s="18"/>
      <c r="B406" s="73"/>
      <c r="C406" s="339"/>
      <c r="D406" s="340"/>
      <c r="E406" s="74"/>
      <c r="F406" s="74"/>
      <c r="G406" s="18"/>
      <c r="H406" s="18"/>
    </row>
    <row r="407" spans="1:8" ht="26.25" customHeight="1">
      <c r="B407" s="73"/>
      <c r="D407" s="340"/>
      <c r="E407" s="74"/>
      <c r="F407" s="74"/>
    </row>
    <row r="408" spans="1:8" ht="26.25" customHeight="1">
      <c r="B408" s="73"/>
      <c r="D408" s="340"/>
      <c r="E408" s="74"/>
      <c r="F408" s="74"/>
    </row>
    <row r="409" spans="1:8" ht="26.25" customHeight="1">
      <c r="B409" s="73"/>
      <c r="D409" s="340"/>
      <c r="E409" s="74"/>
      <c r="F409" s="74"/>
    </row>
    <row r="410" spans="1:8" ht="26.25" customHeight="1">
      <c r="B410" s="73"/>
      <c r="D410" s="340"/>
      <c r="E410" s="74"/>
      <c r="F410" s="74"/>
    </row>
    <row r="411" spans="1:8" ht="26.25" customHeight="1">
      <c r="B411" s="73"/>
      <c r="D411" s="340"/>
      <c r="E411" s="74"/>
      <c r="F411" s="74"/>
    </row>
    <row r="412" spans="1:8" ht="26.25" customHeight="1">
      <c r="B412" s="73"/>
      <c r="D412" s="340"/>
      <c r="E412" s="74"/>
      <c r="F412" s="74"/>
    </row>
    <row r="413" spans="1:8" ht="26.25" customHeight="1">
      <c r="B413" s="73"/>
      <c r="D413" s="340"/>
      <c r="E413" s="74"/>
      <c r="F413" s="74"/>
    </row>
    <row r="414" spans="1:8" ht="26.25" customHeight="1">
      <c r="B414" s="73"/>
      <c r="D414" s="340"/>
      <c r="E414" s="74"/>
      <c r="F414" s="74"/>
    </row>
    <row r="415" spans="1:8" ht="26.25" customHeight="1">
      <c r="B415" s="73"/>
      <c r="D415" s="340"/>
      <c r="E415" s="74"/>
      <c r="F415" s="74"/>
    </row>
    <row r="416" spans="1:8" ht="26.25" customHeight="1">
      <c r="B416" s="73"/>
      <c r="D416" s="340"/>
      <c r="E416" s="74"/>
      <c r="F416" s="74"/>
    </row>
    <row r="417" spans="2:6" ht="26.25" customHeight="1">
      <c r="B417" s="73"/>
      <c r="D417" s="340"/>
      <c r="E417" s="74"/>
      <c r="F417" s="74"/>
    </row>
    <row r="418" spans="2:6" ht="26.25" customHeight="1">
      <c r="B418" s="73"/>
      <c r="D418" s="340"/>
      <c r="E418" s="74"/>
      <c r="F418" s="74"/>
    </row>
    <row r="419" spans="2:6" ht="26.25" customHeight="1">
      <c r="B419" s="73"/>
      <c r="D419" s="340"/>
      <c r="E419" s="74"/>
      <c r="F419" s="74"/>
    </row>
    <row r="420" spans="2:6" ht="26.25" customHeight="1">
      <c r="B420" s="73"/>
      <c r="D420" s="340"/>
      <c r="E420" s="74"/>
      <c r="F420" s="74"/>
    </row>
    <row r="421" spans="2:6" ht="26.25" customHeight="1">
      <c r="B421" s="73"/>
      <c r="D421" s="340"/>
      <c r="E421" s="74"/>
      <c r="F421" s="74"/>
    </row>
    <row r="422" spans="2:6" ht="26.25" customHeight="1">
      <c r="B422" s="73"/>
      <c r="D422" s="340"/>
      <c r="E422" s="74"/>
      <c r="F422" s="74"/>
    </row>
    <row r="423" spans="2:6" ht="26.25" customHeight="1">
      <c r="B423" s="73"/>
      <c r="D423" s="340"/>
      <c r="E423" s="74"/>
      <c r="F423" s="74"/>
    </row>
    <row r="424" spans="2:6" ht="26.25" customHeight="1">
      <c r="B424" s="73"/>
      <c r="D424" s="340"/>
      <c r="E424" s="74"/>
      <c r="F424" s="74"/>
    </row>
    <row r="425" spans="2:6" ht="26.25" customHeight="1">
      <c r="B425" s="73"/>
      <c r="D425" s="340"/>
      <c r="E425" s="74"/>
      <c r="F425" s="74"/>
    </row>
    <row r="426" spans="2:6" ht="26.25" customHeight="1">
      <c r="B426" s="73"/>
      <c r="D426" s="340"/>
      <c r="E426" s="74"/>
      <c r="F426" s="74"/>
    </row>
    <row r="427" spans="2:6" ht="26.25" customHeight="1">
      <c r="B427" s="73"/>
      <c r="D427" s="340"/>
      <c r="E427" s="74"/>
      <c r="F427" s="74"/>
    </row>
    <row r="428" spans="2:6" ht="26.25" customHeight="1">
      <c r="B428" s="73"/>
      <c r="D428" s="340"/>
      <c r="E428" s="74"/>
      <c r="F428" s="74"/>
    </row>
    <row r="429" spans="2:6" ht="26.25" customHeight="1">
      <c r="B429" s="73"/>
      <c r="D429" s="340"/>
      <c r="E429" s="74"/>
      <c r="F429" s="74"/>
    </row>
    <row r="430" spans="2:6" ht="26.25" customHeight="1">
      <c r="B430" s="73"/>
      <c r="D430" s="340"/>
      <c r="E430" s="74"/>
      <c r="F430" s="74"/>
    </row>
    <row r="431" spans="2:6" ht="26.25" customHeight="1">
      <c r="B431" s="73"/>
      <c r="D431" s="340"/>
      <c r="E431" s="74"/>
      <c r="F431" s="74"/>
    </row>
    <row r="432" spans="2:6" ht="26.25" customHeight="1">
      <c r="B432" s="73"/>
      <c r="D432" s="340"/>
      <c r="E432" s="74"/>
      <c r="F432" s="74"/>
    </row>
    <row r="433" spans="2:6" ht="26.25" customHeight="1">
      <c r="B433" s="73"/>
      <c r="D433" s="340"/>
      <c r="E433" s="74"/>
      <c r="F433" s="74"/>
    </row>
    <row r="434" spans="2:6" ht="26.25" customHeight="1">
      <c r="B434" s="73"/>
      <c r="D434" s="340"/>
      <c r="E434" s="74"/>
      <c r="F434" s="74"/>
    </row>
    <row r="435" spans="2:6" ht="26.25" customHeight="1">
      <c r="B435" s="73"/>
      <c r="D435" s="340"/>
      <c r="E435" s="74"/>
      <c r="F435" s="74"/>
    </row>
    <row r="436" spans="2:6" ht="26.25" customHeight="1">
      <c r="B436" s="73"/>
      <c r="D436" s="340"/>
      <c r="E436" s="74"/>
      <c r="F436" s="74"/>
    </row>
    <row r="437" spans="2:6" ht="26.25" customHeight="1">
      <c r="B437" s="73"/>
      <c r="D437" s="340"/>
      <c r="E437" s="74"/>
      <c r="F437" s="74"/>
    </row>
    <row r="438" spans="2:6" ht="26.25" customHeight="1">
      <c r="B438" s="73"/>
      <c r="D438" s="340"/>
      <c r="E438" s="74"/>
      <c r="F438" s="74"/>
    </row>
    <row r="439" spans="2:6" ht="26.25" customHeight="1">
      <c r="B439" s="73"/>
      <c r="D439" s="340"/>
      <c r="E439" s="74"/>
      <c r="F439" s="74"/>
    </row>
    <row r="440" spans="2:6" ht="26.25" customHeight="1">
      <c r="B440" s="73"/>
      <c r="D440" s="340"/>
      <c r="E440" s="74"/>
      <c r="F440" s="74"/>
    </row>
    <row r="441" spans="2:6" ht="26.25" customHeight="1">
      <c r="B441" s="73"/>
      <c r="D441" s="340"/>
      <c r="E441" s="74"/>
      <c r="F441" s="74"/>
    </row>
    <row r="442" spans="2:6" ht="26.25" customHeight="1">
      <c r="B442" s="73"/>
    </row>
    <row r="443" spans="2:6" ht="26.25" customHeight="1">
      <c r="B443" s="76"/>
    </row>
    <row r="444" spans="2:6" ht="26.25" customHeight="1">
      <c r="B444" s="76"/>
    </row>
    <row r="445" spans="2:6" ht="26.25" customHeight="1">
      <c r="B445" s="76"/>
    </row>
    <row r="446" spans="2:6" ht="26.25" customHeight="1">
      <c r="B446" s="76"/>
    </row>
    <row r="447" spans="2:6" ht="26.25" customHeight="1">
      <c r="B447" s="76"/>
    </row>
    <row r="448" spans="2:6" ht="26.25" customHeight="1">
      <c r="B448" s="76"/>
    </row>
    <row r="449" spans="2:2" ht="26.25" customHeight="1">
      <c r="B449" s="76"/>
    </row>
    <row r="450" spans="2:2" ht="26.25" customHeight="1">
      <c r="B450" s="76"/>
    </row>
    <row r="451" spans="2:2" ht="26.25" customHeight="1">
      <c r="B451" s="76"/>
    </row>
    <row r="452" spans="2:2" ht="26.25" customHeight="1">
      <c r="B452" s="76"/>
    </row>
    <row r="453" spans="2:2" ht="26.25" customHeight="1">
      <c r="B453" s="76"/>
    </row>
    <row r="454" spans="2:2" ht="26.25" customHeight="1">
      <c r="B454" s="76"/>
    </row>
    <row r="455" spans="2:2" ht="26.25" customHeight="1">
      <c r="B455" s="76"/>
    </row>
    <row r="456" spans="2:2" ht="26.25" customHeight="1">
      <c r="B456" s="76"/>
    </row>
    <row r="457" spans="2:2" ht="26.25" customHeight="1">
      <c r="B457" s="76"/>
    </row>
    <row r="458" spans="2:2" ht="26.25" customHeight="1">
      <c r="B458" s="76"/>
    </row>
    <row r="459" spans="2:2" ht="26.25" customHeight="1">
      <c r="B459" s="76"/>
    </row>
    <row r="460" spans="2:2" ht="26.25" customHeight="1">
      <c r="B460" s="76"/>
    </row>
    <row r="461" spans="2:2" ht="26.25" customHeight="1">
      <c r="B461" s="76"/>
    </row>
    <row r="462" spans="2:2" ht="26.25" customHeight="1">
      <c r="B462" s="76"/>
    </row>
    <row r="463" spans="2:2" ht="26.25" customHeight="1">
      <c r="B463" s="76"/>
    </row>
    <row r="464" spans="2:2" ht="26.25" customHeight="1">
      <c r="B464" s="76"/>
    </row>
    <row r="465" spans="2:2" ht="26.25" customHeight="1">
      <c r="B465" s="76"/>
    </row>
    <row r="466" spans="2:2" ht="26.25" customHeight="1">
      <c r="B466" s="76"/>
    </row>
    <row r="467" spans="2:2" ht="26.25" customHeight="1">
      <c r="B467" s="76"/>
    </row>
    <row r="468" spans="2:2" ht="26.25" customHeight="1">
      <c r="B468" s="76"/>
    </row>
    <row r="469" spans="2:2" ht="26.25" customHeight="1">
      <c r="B469" s="76"/>
    </row>
    <row r="470" spans="2:2" ht="26.25" customHeight="1">
      <c r="B470" s="76"/>
    </row>
    <row r="471" spans="2:2" ht="26.25" customHeight="1">
      <c r="B471" s="76"/>
    </row>
    <row r="472" spans="2:2" ht="26.25" customHeight="1">
      <c r="B472" s="76"/>
    </row>
    <row r="473" spans="2:2" ht="26.25" customHeight="1">
      <c r="B473" s="76"/>
    </row>
    <row r="474" spans="2:2" ht="26.25" customHeight="1">
      <c r="B474" s="76"/>
    </row>
    <row r="475" spans="2:2" ht="26.25" customHeight="1">
      <c r="B475" s="76"/>
    </row>
    <row r="476" spans="2:2" ht="26.25" customHeight="1">
      <c r="B476" s="76"/>
    </row>
    <row r="477" spans="2:2" ht="26.25" customHeight="1">
      <c r="B477" s="76"/>
    </row>
    <row r="478" spans="2:2" ht="26.25" customHeight="1">
      <c r="B478" s="76"/>
    </row>
    <row r="479" spans="2:2" ht="26.25" customHeight="1">
      <c r="B479" s="76"/>
    </row>
    <row r="480" spans="2:2" ht="26.25" customHeight="1">
      <c r="B480" s="76"/>
    </row>
    <row r="481" spans="2:2" ht="26.25" customHeight="1">
      <c r="B481" s="76"/>
    </row>
    <row r="482" spans="2:2" ht="26.25" customHeight="1">
      <c r="B482" s="76"/>
    </row>
    <row r="483" spans="2:2" ht="26.25" customHeight="1">
      <c r="B483" s="76"/>
    </row>
    <row r="484" spans="2:2" ht="26.25" customHeight="1">
      <c r="B484" s="76"/>
    </row>
    <row r="485" spans="2:2" ht="26.25" customHeight="1">
      <c r="B485" s="76"/>
    </row>
    <row r="486" spans="2:2" ht="26.25" customHeight="1">
      <c r="B486" s="76"/>
    </row>
    <row r="487" spans="2:2" ht="26.25" customHeight="1">
      <c r="B487" s="76"/>
    </row>
    <row r="488" spans="2:2" ht="26.25" customHeight="1">
      <c r="B488" s="76"/>
    </row>
    <row r="489" spans="2:2" ht="26.25" customHeight="1">
      <c r="B489" s="76"/>
    </row>
    <row r="490" spans="2:2" ht="26.25" customHeight="1">
      <c r="B490" s="76"/>
    </row>
    <row r="491" spans="2:2" ht="26.25" customHeight="1">
      <c r="B491" s="76"/>
    </row>
    <row r="492" spans="2:2" ht="26.25" customHeight="1">
      <c r="B492" s="76"/>
    </row>
    <row r="493" spans="2:2" ht="26.25" customHeight="1">
      <c r="B493" s="76"/>
    </row>
    <row r="494" spans="2:2" ht="26.25" customHeight="1">
      <c r="B494" s="76"/>
    </row>
    <row r="495" spans="2:2" ht="26.25" customHeight="1">
      <c r="B495" s="76"/>
    </row>
    <row r="496" spans="2:2" ht="26.25" customHeight="1">
      <c r="B496" s="76"/>
    </row>
    <row r="497" spans="2:2" ht="26.25" customHeight="1">
      <c r="B497" s="76"/>
    </row>
    <row r="498" spans="2:2" ht="26.25" customHeight="1">
      <c r="B498" s="76"/>
    </row>
    <row r="499" spans="2:2" ht="26.25" customHeight="1">
      <c r="B499" s="76"/>
    </row>
    <row r="500" spans="2:2" ht="26.25" customHeight="1">
      <c r="B500" s="76"/>
    </row>
    <row r="501" spans="2:2" ht="26.25" customHeight="1">
      <c r="B501" s="76"/>
    </row>
    <row r="502" spans="2:2" ht="26.25" customHeight="1">
      <c r="B502" s="76"/>
    </row>
    <row r="503" spans="2:2" ht="26.25" customHeight="1">
      <c r="B503" s="76"/>
    </row>
    <row r="504" spans="2:2" ht="26.25" customHeight="1">
      <c r="B504" s="76"/>
    </row>
    <row r="505" spans="2:2" ht="26.25" customHeight="1">
      <c r="B505" s="76"/>
    </row>
    <row r="506" spans="2:2" ht="26.25" customHeight="1">
      <c r="B506" s="76"/>
    </row>
    <row r="507" spans="2:2" ht="26.25" customHeight="1">
      <c r="B507" s="76"/>
    </row>
    <row r="508" spans="2:2" ht="26.25" customHeight="1">
      <c r="B508" s="76"/>
    </row>
    <row r="509" spans="2:2" ht="26.25" customHeight="1">
      <c r="B509" s="76"/>
    </row>
    <row r="510" spans="2:2" ht="26.25" customHeight="1">
      <c r="B510" s="76"/>
    </row>
    <row r="511" spans="2:2" ht="26.25" customHeight="1">
      <c r="B511" s="76"/>
    </row>
    <row r="512" spans="2:2" ht="26.25" customHeight="1">
      <c r="B512" s="76"/>
    </row>
    <row r="513" spans="2:2" ht="26.25" customHeight="1">
      <c r="B513" s="76"/>
    </row>
    <row r="514" spans="2:2" ht="26.25" customHeight="1">
      <c r="B514" s="76"/>
    </row>
    <row r="515" spans="2:2" ht="26.25" customHeight="1">
      <c r="B515" s="76"/>
    </row>
    <row r="516" spans="2:2" ht="26.25" customHeight="1">
      <c r="B516" s="76"/>
    </row>
    <row r="517" spans="2:2" ht="26.25" customHeight="1">
      <c r="B517" s="76"/>
    </row>
    <row r="518" spans="2:2" ht="26.25" customHeight="1">
      <c r="B518" s="76"/>
    </row>
    <row r="519" spans="2:2" ht="26.25" customHeight="1">
      <c r="B519" s="76"/>
    </row>
    <row r="520" spans="2:2" ht="26.25" customHeight="1">
      <c r="B520" s="76"/>
    </row>
    <row r="521" spans="2:2" ht="26.25" customHeight="1">
      <c r="B521" s="76"/>
    </row>
    <row r="522" spans="2:2" ht="26.25" customHeight="1">
      <c r="B522" s="76"/>
    </row>
    <row r="523" spans="2:2" ht="26.25" customHeight="1">
      <c r="B523" s="76"/>
    </row>
    <row r="524" spans="2:2" ht="26.25" customHeight="1">
      <c r="B524" s="76"/>
    </row>
    <row r="525" spans="2:2" ht="26.25" customHeight="1">
      <c r="B525" s="76"/>
    </row>
    <row r="526" spans="2:2" ht="26.25" customHeight="1">
      <c r="B526" s="76"/>
    </row>
    <row r="527" spans="2:2" ht="26.25" customHeight="1">
      <c r="B527" s="76"/>
    </row>
    <row r="528" spans="2:2" ht="26.25" customHeight="1">
      <c r="B528" s="76"/>
    </row>
    <row r="529" spans="2:2" ht="26.25" customHeight="1">
      <c r="B529" s="76"/>
    </row>
    <row r="530" spans="2:2" ht="26.25" customHeight="1">
      <c r="B530" s="76"/>
    </row>
    <row r="531" spans="2:2" ht="26.25" customHeight="1">
      <c r="B531" s="76"/>
    </row>
    <row r="532" spans="2:2" ht="26.25" customHeight="1">
      <c r="B532" s="76"/>
    </row>
    <row r="533" spans="2:2" ht="26.25" customHeight="1">
      <c r="B533" s="76"/>
    </row>
    <row r="534" spans="2:2" ht="26.25" customHeight="1">
      <c r="B534" s="76"/>
    </row>
    <row r="535" spans="2:2" ht="26.25" customHeight="1">
      <c r="B535" s="76"/>
    </row>
    <row r="536" spans="2:2" ht="26.25" customHeight="1">
      <c r="B536" s="76"/>
    </row>
    <row r="537" spans="2:2" ht="26.25" customHeight="1">
      <c r="B537" s="76"/>
    </row>
    <row r="538" spans="2:2" ht="26.25" customHeight="1">
      <c r="B538" s="76"/>
    </row>
    <row r="539" spans="2:2" ht="26.25" customHeight="1">
      <c r="B539" s="76"/>
    </row>
    <row r="540" spans="2:2" ht="26.25" customHeight="1">
      <c r="B540" s="76"/>
    </row>
    <row r="541" spans="2:2" ht="26.25" customHeight="1">
      <c r="B541" s="76"/>
    </row>
    <row r="542" spans="2:2" ht="26.25" customHeight="1">
      <c r="B542" s="76"/>
    </row>
    <row r="543" spans="2:2" ht="26.25" customHeight="1">
      <c r="B543" s="76"/>
    </row>
    <row r="544" spans="2:2" ht="26.25" customHeight="1">
      <c r="B544" s="76"/>
    </row>
    <row r="545" spans="2:2" ht="26.25" customHeight="1">
      <c r="B545" s="76"/>
    </row>
    <row r="546" spans="2:2" ht="26.25" customHeight="1">
      <c r="B546" s="76"/>
    </row>
    <row r="547" spans="2:2" ht="26.25" customHeight="1">
      <c r="B547" s="76"/>
    </row>
    <row r="548" spans="2:2" ht="26.25" customHeight="1">
      <c r="B548" s="76"/>
    </row>
    <row r="549" spans="2:2" ht="26.25" customHeight="1">
      <c r="B549" s="76"/>
    </row>
    <row r="550" spans="2:2" ht="26.25" customHeight="1">
      <c r="B550" s="76"/>
    </row>
    <row r="551" spans="2:2" ht="26.25" customHeight="1">
      <c r="B551" s="76"/>
    </row>
    <row r="552" spans="2:2" ht="26.25" customHeight="1">
      <c r="B552" s="76"/>
    </row>
    <row r="553" spans="2:2" ht="26.25" customHeight="1">
      <c r="B553" s="76"/>
    </row>
    <row r="554" spans="2:2" ht="26.25" customHeight="1">
      <c r="B554" s="76"/>
    </row>
    <row r="555" spans="2:2" ht="26.25" customHeight="1">
      <c r="B555" s="76"/>
    </row>
    <row r="556" spans="2:2" ht="26.25" customHeight="1">
      <c r="B556" s="76"/>
    </row>
    <row r="557" spans="2:2" ht="26.25" customHeight="1">
      <c r="B557" s="76"/>
    </row>
    <row r="558" spans="2:2" ht="26.25" customHeight="1">
      <c r="B558" s="76"/>
    </row>
    <row r="559" spans="2:2" ht="26.25" customHeight="1">
      <c r="B559" s="76"/>
    </row>
    <row r="560" spans="2:2" ht="26.25" customHeight="1">
      <c r="B560" s="76"/>
    </row>
    <row r="561" spans="2:2" ht="26.25" customHeight="1">
      <c r="B561" s="76"/>
    </row>
    <row r="562" spans="2:2" ht="26.25" customHeight="1">
      <c r="B562" s="76"/>
    </row>
    <row r="563" spans="2:2" ht="26.25" customHeight="1">
      <c r="B563" s="76"/>
    </row>
    <row r="564" spans="2:2" ht="26.25" customHeight="1">
      <c r="B564" s="76"/>
    </row>
    <row r="565" spans="2:2" ht="26.25" customHeight="1">
      <c r="B565" s="76"/>
    </row>
    <row r="566" spans="2:2" ht="26.25" customHeight="1">
      <c r="B566" s="76"/>
    </row>
    <row r="567" spans="2:2" ht="26.25" customHeight="1">
      <c r="B567" s="76"/>
    </row>
    <row r="568" spans="2:2" ht="26.25" customHeight="1">
      <c r="B568" s="76"/>
    </row>
    <row r="569" spans="2:2" ht="26.25" customHeight="1">
      <c r="B569" s="76"/>
    </row>
    <row r="570" spans="2:2" ht="26.25" customHeight="1">
      <c r="B570" s="76"/>
    </row>
    <row r="571" spans="2:2" ht="26.25" customHeight="1">
      <c r="B571" s="76"/>
    </row>
    <row r="572" spans="2:2" ht="26.25" customHeight="1">
      <c r="B572" s="76"/>
    </row>
    <row r="573" spans="2:2" ht="26.25" customHeight="1">
      <c r="B573" s="76"/>
    </row>
    <row r="574" spans="2:2" ht="26.25" customHeight="1">
      <c r="B574" s="76"/>
    </row>
    <row r="575" spans="2:2" ht="26.25" customHeight="1">
      <c r="B575" s="76"/>
    </row>
    <row r="576" spans="2:2" ht="26.25" customHeight="1">
      <c r="B576" s="76"/>
    </row>
    <row r="577" spans="2:2" ht="26.25" customHeight="1">
      <c r="B577" s="76"/>
    </row>
    <row r="578" spans="2:2" ht="26.25" customHeight="1">
      <c r="B578" s="76"/>
    </row>
    <row r="579" spans="2:2" ht="26.25" customHeight="1">
      <c r="B579" s="76"/>
    </row>
    <row r="580" spans="2:2" ht="26.25" customHeight="1">
      <c r="B580" s="76"/>
    </row>
    <row r="581" spans="2:2" ht="26.25" customHeight="1">
      <c r="B581" s="76"/>
    </row>
    <row r="582" spans="2:2" ht="26.25" customHeight="1">
      <c r="B582" s="76"/>
    </row>
    <row r="583" spans="2:2" ht="26.25" customHeight="1">
      <c r="B583" s="76"/>
    </row>
    <row r="584" spans="2:2" ht="26.25" customHeight="1">
      <c r="B584" s="76"/>
    </row>
    <row r="585" spans="2:2" ht="26.25" customHeight="1">
      <c r="B585" s="76"/>
    </row>
    <row r="586" spans="2:2" ht="26.25" customHeight="1">
      <c r="B586" s="76"/>
    </row>
    <row r="587" spans="2:2" ht="26.25" customHeight="1">
      <c r="B587" s="76"/>
    </row>
    <row r="588" spans="2:2" ht="26.25" customHeight="1">
      <c r="B588" s="76"/>
    </row>
    <row r="589" spans="2:2" ht="26.25" customHeight="1">
      <c r="B589" s="76"/>
    </row>
    <row r="590" spans="2:2" ht="26.25" customHeight="1">
      <c r="B590" s="76"/>
    </row>
    <row r="591" spans="2:2" ht="26.25" customHeight="1">
      <c r="B591" s="76"/>
    </row>
    <row r="592" spans="2:2" ht="26.25" customHeight="1">
      <c r="B592" s="76"/>
    </row>
    <row r="593" spans="2:2" ht="26.25" customHeight="1">
      <c r="B593" s="76"/>
    </row>
    <row r="594" spans="2:2" ht="26.25" customHeight="1">
      <c r="B594" s="76"/>
    </row>
    <row r="595" spans="2:2" ht="26.25" customHeight="1">
      <c r="B595" s="76"/>
    </row>
    <row r="596" spans="2:2" ht="26.25" customHeight="1">
      <c r="B596" s="76"/>
    </row>
    <row r="597" spans="2:2" ht="26.25" customHeight="1">
      <c r="B597" s="76"/>
    </row>
    <row r="598" spans="2:2" ht="26.25" customHeight="1">
      <c r="B598" s="76"/>
    </row>
    <row r="599" spans="2:2" ht="26.25" customHeight="1">
      <c r="B599" s="76"/>
    </row>
    <row r="600" spans="2:2" ht="26.25" customHeight="1">
      <c r="B600" s="76"/>
    </row>
    <row r="601" spans="2:2" ht="26.25" customHeight="1">
      <c r="B601" s="76"/>
    </row>
    <row r="602" spans="2:2" ht="26.25" customHeight="1">
      <c r="B602" s="76"/>
    </row>
    <row r="603" spans="2:2" ht="26.25" customHeight="1">
      <c r="B603" s="76"/>
    </row>
    <row r="604" spans="2:2" ht="26.25" customHeight="1">
      <c r="B604" s="76"/>
    </row>
    <row r="605" spans="2:2" ht="26.25" customHeight="1">
      <c r="B605" s="76"/>
    </row>
    <row r="606" spans="2:2" ht="26.25" customHeight="1">
      <c r="B606" s="76"/>
    </row>
    <row r="607" spans="2:2" ht="26.25" customHeight="1">
      <c r="B607" s="76"/>
    </row>
    <row r="608" spans="2:2" ht="26.25" customHeight="1">
      <c r="B608" s="76"/>
    </row>
    <row r="609" spans="2:2" ht="26.25" customHeight="1">
      <c r="B609" s="76"/>
    </row>
  </sheetData>
  <mergeCells count="9">
    <mergeCell ref="Q9:Q10"/>
    <mergeCell ref="R9:R10"/>
    <mergeCell ref="D386:E386"/>
    <mergeCell ref="D387:E387"/>
    <mergeCell ref="B2:H2"/>
    <mergeCell ref="A6:B6"/>
    <mergeCell ref="G387:H387"/>
    <mergeCell ref="G386:H386"/>
    <mergeCell ref="P9:P10"/>
  </mergeCells>
  <pageMargins left="0.59055118110236227" right="0.59055118110236227" top="0.39370078740157483" bottom="0.39370078740157483" header="0.31496062992125984" footer="0.31496062992125984"/>
  <pageSetup paperSize="9" scale="6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418"/>
  <sheetViews>
    <sheetView view="pageBreakPreview" topLeftCell="A4" zoomScaleNormal="70" zoomScaleSheetLayoutView="100" workbookViewId="0">
      <selection activeCell="E18" sqref="E18"/>
    </sheetView>
  </sheetViews>
  <sheetFormatPr defaultRowHeight="18.75"/>
  <cols>
    <col min="1" max="1" width="66.5703125" style="226" customWidth="1"/>
    <col min="2" max="2" width="12" style="255" customWidth="1"/>
    <col min="3" max="3" width="16.140625" style="255" customWidth="1"/>
    <col min="4" max="4" width="16.7109375" style="255" customWidth="1"/>
    <col min="5" max="5" width="16.140625" style="255" customWidth="1"/>
    <col min="6" max="6" width="16" style="255" customWidth="1"/>
    <col min="7" max="7" width="16.42578125" style="226" customWidth="1"/>
    <col min="8" max="16384" width="9.140625" style="226"/>
  </cols>
  <sheetData>
    <row r="2" spans="1:7" ht="20.25">
      <c r="A2" s="415" t="s">
        <v>665</v>
      </c>
      <c r="B2" s="415"/>
      <c r="C2" s="415"/>
      <c r="D2" s="415"/>
      <c r="E2" s="415"/>
      <c r="F2" s="415"/>
    </row>
    <row r="3" spans="1:7">
      <c r="A3" s="227"/>
      <c r="B3" s="228"/>
      <c r="C3" s="227"/>
      <c r="D3" s="227"/>
      <c r="E3" s="227"/>
      <c r="F3" s="228"/>
      <c r="G3" s="226" t="s">
        <v>64</v>
      </c>
    </row>
    <row r="4" spans="1:7" ht="61.5" customHeight="1">
      <c r="A4" s="229" t="s">
        <v>24</v>
      </c>
      <c r="B4" s="230" t="s">
        <v>5</v>
      </c>
      <c r="C4" s="231" t="s">
        <v>666</v>
      </c>
      <c r="D4" s="231" t="s">
        <v>667</v>
      </c>
      <c r="E4" s="231" t="s">
        <v>668</v>
      </c>
      <c r="F4" s="232" t="s">
        <v>108</v>
      </c>
      <c r="G4" s="233" t="s">
        <v>669</v>
      </c>
    </row>
    <row r="5" spans="1:7" ht="19.5" customHeight="1">
      <c r="A5" s="234">
        <v>1</v>
      </c>
      <c r="B5" s="235">
        <v>2</v>
      </c>
      <c r="C5" s="235">
        <v>3</v>
      </c>
      <c r="D5" s="235">
        <v>4</v>
      </c>
      <c r="E5" s="235">
        <v>5</v>
      </c>
      <c r="F5" s="235">
        <v>6</v>
      </c>
      <c r="G5" s="236">
        <v>7</v>
      </c>
    </row>
    <row r="6" spans="1:7" ht="26.25" customHeight="1">
      <c r="A6" s="237" t="s">
        <v>656</v>
      </c>
      <c r="B6" s="238"/>
      <c r="C6" s="239"/>
      <c r="D6" s="239"/>
      <c r="E6" s="239"/>
      <c r="F6" s="239"/>
      <c r="G6" s="240"/>
    </row>
    <row r="7" spans="1:7" ht="33" customHeight="1">
      <c r="A7" s="241" t="s">
        <v>670</v>
      </c>
      <c r="B7" s="242"/>
      <c r="C7" s="243"/>
      <c r="D7" s="243"/>
      <c r="E7" s="243"/>
      <c r="F7" s="243"/>
      <c r="G7" s="244"/>
    </row>
    <row r="8" spans="1:7" ht="24.75" customHeight="1">
      <c r="A8" s="241" t="s">
        <v>657</v>
      </c>
      <c r="B8" s="242">
        <v>3010</v>
      </c>
      <c r="C8" s="247">
        <f>C9+C10+C11+C12</f>
        <v>46843.7</v>
      </c>
      <c r="D8" s="247">
        <f t="shared" ref="D8:E8" si="0">D9+D10+D11+D12</f>
        <v>64875.6</v>
      </c>
      <c r="E8" s="247">
        <f t="shared" si="0"/>
        <v>74178.7</v>
      </c>
      <c r="F8" s="247">
        <f t="shared" ref="F8:F193" si="1">E8-D8</f>
        <v>9303.0999999999985</v>
      </c>
      <c r="G8" s="326">
        <f t="shared" ref="G8:G193" si="2">(E8/D8)*100</f>
        <v>114.33990591223819</v>
      </c>
    </row>
    <row r="9" spans="1:7" ht="31.5" customHeight="1">
      <c r="A9" s="245" t="str">
        <f>'Розшифровка 1 до Формування'!B8</f>
        <v>кошти державного бюджету від Національної служби здоров'я України</v>
      </c>
      <c r="B9" s="238"/>
      <c r="C9" s="239">
        <f>'Розшифровка 1 до Формування'!D8</f>
        <v>45079.4</v>
      </c>
      <c r="D9" s="239">
        <f>'Розшифровка 1 до Формування'!E8</f>
        <v>62735.7</v>
      </c>
      <c r="E9" s="239">
        <f>'Розшифровка 1 до Формування'!F8</f>
        <v>72195.5</v>
      </c>
      <c r="F9" s="239">
        <f t="shared" ref="F9:F11" si="3">E9-D9</f>
        <v>9459.8000000000029</v>
      </c>
      <c r="G9" s="240">
        <f t="shared" ref="G9:G11" si="4">(E9/D9)*100</f>
        <v>115.07881477372533</v>
      </c>
    </row>
    <row r="10" spans="1:7" ht="24.75" customHeight="1">
      <c r="A10" s="245" t="str">
        <f>'Розшифровка 1 до Формування'!B9</f>
        <v>кошти від надання послуг з  медичної діяльності</v>
      </c>
      <c r="B10" s="238"/>
      <c r="C10" s="239">
        <f>'Розшифровка 1 до Формування'!D9</f>
        <v>1138.4000000000001</v>
      </c>
      <c r="D10" s="239">
        <f>'Розшифровка 1 до Формування'!E9</f>
        <v>1125.5</v>
      </c>
      <c r="E10" s="239">
        <f>'Розшифровка 1 до Формування'!F9</f>
        <v>1159.2</v>
      </c>
      <c r="F10" s="239">
        <f t="shared" si="3"/>
        <v>33.700000000000045</v>
      </c>
      <c r="G10" s="240">
        <f t="shared" si="4"/>
        <v>102.99422478898268</v>
      </c>
    </row>
    <row r="11" spans="1:7" ht="24.75" customHeight="1">
      <c r="A11" s="245" t="str">
        <f>'Розшифровка 1 до Формування'!B10</f>
        <v>кошти отриманих від реалізації продукції молочної кухні</v>
      </c>
      <c r="B11" s="238"/>
      <c r="C11" s="239">
        <f>'Розшифровка 1 до Формування'!D10</f>
        <v>467.7</v>
      </c>
      <c r="D11" s="239">
        <f>'Розшифровка 1 до Формування'!E10</f>
        <v>472</v>
      </c>
      <c r="E11" s="239">
        <f>'Розшифровка 1 до Формування'!F10</f>
        <v>398.1</v>
      </c>
      <c r="F11" s="239">
        <f t="shared" si="3"/>
        <v>-73.899999999999977</v>
      </c>
      <c r="G11" s="240">
        <f t="shared" si="4"/>
        <v>84.343220338983059</v>
      </c>
    </row>
    <row r="12" spans="1:7" ht="51.75" customHeight="1">
      <c r="A12" s="245" t="str">
        <f>'Розшифровка 1 до Формування'!B11</f>
        <v>кошти від надання послуг з немедичної діяльності (платні палати, стажування інтернів, відшкодування від страхової компанії)</v>
      </c>
      <c r="B12" s="260"/>
      <c r="C12" s="239">
        <f>'Розшифровка 1 до Формування'!D11</f>
        <v>158.19999999999999</v>
      </c>
      <c r="D12" s="239">
        <f>'Розшифровка 1 до Формування'!E11</f>
        <v>542.4</v>
      </c>
      <c r="E12" s="239">
        <f>'Розшифровка 1 до Формування'!F11</f>
        <v>425.9</v>
      </c>
      <c r="F12" s="239">
        <f t="shared" si="1"/>
        <v>-116.5</v>
      </c>
      <c r="G12" s="240">
        <f t="shared" si="2"/>
        <v>78.521386430678461</v>
      </c>
    </row>
    <row r="13" spans="1:7" ht="24.75" customHeight="1">
      <c r="A13" s="241" t="s">
        <v>671</v>
      </c>
      <c r="B13" s="242">
        <v>3020</v>
      </c>
      <c r="C13" s="247">
        <f>C14+C15+C16</f>
        <v>28394</v>
      </c>
      <c r="D13" s="247">
        <f t="shared" ref="D13:E13" si="5">D14+D15+D16</f>
        <v>12639.9</v>
      </c>
      <c r="E13" s="247">
        <f t="shared" si="5"/>
        <v>15449.8</v>
      </c>
      <c r="F13" s="247">
        <f t="shared" si="1"/>
        <v>2809.8999999999996</v>
      </c>
      <c r="G13" s="326">
        <f t="shared" si="2"/>
        <v>122.23039739238443</v>
      </c>
    </row>
    <row r="14" spans="1:7" ht="24.75" customHeight="1">
      <c r="A14" s="245" t="str">
        <f>'Розшифровка 1 до Формування'!B13</f>
        <v>кошти медичної субвенції з державного бюджету</v>
      </c>
      <c r="B14" s="238"/>
      <c r="C14" s="239">
        <f>'Розшифровка 1 до Формування'!D13</f>
        <v>12532.5</v>
      </c>
      <c r="D14" s="239"/>
      <c r="E14" s="239">
        <v>199.2</v>
      </c>
      <c r="F14" s="239">
        <f t="shared" ref="F14:F15" si="6">E14-D14</f>
        <v>199.2</v>
      </c>
      <c r="G14" s="330" t="e">
        <f t="shared" ref="G14:G15" si="7">(E14/D14)*100</f>
        <v>#DIV/0!</v>
      </c>
    </row>
    <row r="15" spans="1:7" ht="46.5" customHeight="1">
      <c r="A15" s="245" t="str">
        <f>'Розшифровка 1 до Формування'!B15</f>
        <v>кошти державного бюджету (відшкодування лікарям-інтернам за проходження інтернатури)</v>
      </c>
      <c r="B15" s="238"/>
      <c r="C15" s="239">
        <f>'Розшифровка 1 до Формування'!D15</f>
        <v>27.3</v>
      </c>
      <c r="D15" s="239">
        <f>'Розшифровка 1 до Формування'!E15</f>
        <v>71.599999999999994</v>
      </c>
      <c r="E15" s="239">
        <f>'Розшифровка 1 до Формування'!F15</f>
        <v>334.7</v>
      </c>
      <c r="F15" s="239">
        <f t="shared" si="6"/>
        <v>263.10000000000002</v>
      </c>
      <c r="G15" s="240">
        <f t="shared" si="7"/>
        <v>467.45810055865923</v>
      </c>
    </row>
    <row r="16" spans="1:7" ht="24" customHeight="1">
      <c r="A16" s="245" t="str">
        <f>'Розшифровка 1 до Формування'!B16</f>
        <v>кошти Вінницької міської територіальної громади (ВМТГ)</v>
      </c>
      <c r="B16" s="242"/>
      <c r="C16" s="243">
        <v>15834.2</v>
      </c>
      <c r="D16" s="243">
        <f>'Розшифровка 1 до Формування'!E16</f>
        <v>12568.3</v>
      </c>
      <c r="E16" s="243">
        <v>14915.9</v>
      </c>
      <c r="F16" s="239">
        <f t="shared" si="1"/>
        <v>2347.6000000000004</v>
      </c>
      <c r="G16" s="240">
        <f t="shared" si="2"/>
        <v>118.67873936809275</v>
      </c>
    </row>
    <row r="17" spans="1:7" ht="24.75" customHeight="1">
      <c r="A17" s="241" t="s">
        <v>672</v>
      </c>
      <c r="B17" s="242">
        <v>3040</v>
      </c>
      <c r="C17" s="247">
        <f>SUM(C18:C23)</f>
        <v>493.59999999999997</v>
      </c>
      <c r="D17" s="247">
        <f t="shared" ref="D17" si="8">D18+D19+D20+D23</f>
        <v>33.6</v>
      </c>
      <c r="E17" s="247">
        <f>E18+E19+E20+E23+E21+E22</f>
        <v>478.5</v>
      </c>
      <c r="F17" s="247">
        <f t="shared" si="1"/>
        <v>444.9</v>
      </c>
      <c r="G17" s="326">
        <f t="shared" si="2"/>
        <v>1424.1071428571429</v>
      </c>
    </row>
    <row r="18" spans="1:7" ht="39" customHeight="1">
      <c r="A18" s="245" t="str">
        <f>'Розшифровка 1 до Формування'!B17</f>
        <v>кошти отримані від реалізації в установленому порядку майна ( крім нерухомого майна)</v>
      </c>
      <c r="B18" s="238"/>
      <c r="C18" s="239">
        <f>'Розшифровка 1 до Формування'!D17</f>
        <v>1.8</v>
      </c>
      <c r="D18" s="239">
        <f>'Розшифровка 1 до Формування'!E17</f>
        <v>1.8</v>
      </c>
      <c r="E18" s="239">
        <v>26.2</v>
      </c>
      <c r="F18" s="239">
        <f t="shared" ref="F18:F22" si="9">E18-D18</f>
        <v>24.4</v>
      </c>
      <c r="G18" s="240">
        <f t="shared" ref="G18:G22" si="10">(E18/D18)*100</f>
        <v>1455.5555555555554</v>
      </c>
    </row>
    <row r="19" spans="1:7" ht="24.75" customHeight="1">
      <c r="A19" s="245" t="str">
        <f>'Розшифровка 1 до Формування'!B18</f>
        <v>кошти орендарів (енергоносії)</v>
      </c>
      <c r="B19" s="238"/>
      <c r="C19" s="239">
        <v>44.4</v>
      </c>
      <c r="D19" s="239">
        <f>'Розшифровка 1 до Формування'!E18</f>
        <v>31.8</v>
      </c>
      <c r="E19" s="239">
        <f>38.2</f>
        <v>38.200000000000003</v>
      </c>
      <c r="F19" s="239">
        <f t="shared" si="9"/>
        <v>6.4000000000000021</v>
      </c>
      <c r="G19" s="240">
        <f t="shared" si="10"/>
        <v>120.12578616352201</v>
      </c>
    </row>
    <row r="20" spans="1:7" ht="24.75" customHeight="1">
      <c r="A20" s="245" t="str">
        <f>'Розшифровка 1 до Формування'!B20</f>
        <v xml:space="preserve">благодійна допомога в грошовому еквіваленті </v>
      </c>
      <c r="B20" s="238"/>
      <c r="C20" s="239">
        <f>'Розшифровка 1 до Формування'!D20</f>
        <v>418.7</v>
      </c>
      <c r="D20" s="239">
        <f>'Розшифровка 1 до Формування'!E20</f>
        <v>0</v>
      </c>
      <c r="E20" s="239">
        <f>'Розшифровка 1 до Формування'!F20</f>
        <v>300.3</v>
      </c>
      <c r="F20" s="239">
        <f t="shared" si="9"/>
        <v>300.3</v>
      </c>
      <c r="G20" s="330" t="e">
        <f t="shared" si="10"/>
        <v>#DIV/0!</v>
      </c>
    </row>
    <row r="21" spans="1:7" ht="25.5" customHeight="1">
      <c r="A21" s="328" t="s">
        <v>400</v>
      </c>
      <c r="B21" s="238"/>
      <c r="C21" s="239"/>
      <c r="D21" s="239"/>
      <c r="E21" s="239">
        <v>26.4</v>
      </c>
      <c r="F21" s="239">
        <f t="shared" si="9"/>
        <v>26.4</v>
      </c>
      <c r="G21" s="330" t="e">
        <f t="shared" si="10"/>
        <v>#DIV/0!</v>
      </c>
    </row>
    <row r="22" spans="1:7" ht="37.5" customHeight="1">
      <c r="A22" s="329" t="s">
        <v>653</v>
      </c>
      <c r="B22" s="238"/>
      <c r="C22" s="239"/>
      <c r="D22" s="239"/>
      <c r="E22" s="239">
        <v>79.2</v>
      </c>
      <c r="F22" s="239">
        <f t="shared" si="9"/>
        <v>79.2</v>
      </c>
      <c r="G22" s="330" t="e">
        <f t="shared" si="10"/>
        <v>#DIV/0!</v>
      </c>
    </row>
    <row r="23" spans="1:7" ht="21" customHeight="1">
      <c r="A23" s="245" t="str">
        <f>'Розшифровка 1 до Формування'!B22</f>
        <v>дохід від курсової різниці</v>
      </c>
      <c r="B23" s="242"/>
      <c r="C23" s="239">
        <f>'Розшифровка 1 до Формування'!D22</f>
        <v>28.7</v>
      </c>
      <c r="D23" s="239">
        <f>'Розшифровка 1 до Формування'!E22</f>
        <v>0</v>
      </c>
      <c r="E23" s="239">
        <f>'Розшифровка 1 до Формування'!F22</f>
        <v>8.1999999999999993</v>
      </c>
      <c r="F23" s="239">
        <f t="shared" si="1"/>
        <v>8.1999999999999993</v>
      </c>
      <c r="G23" s="330" t="e">
        <f t="shared" si="2"/>
        <v>#DIV/0!</v>
      </c>
    </row>
    <row r="24" spans="1:7" ht="31.5" customHeight="1">
      <c r="A24" s="241" t="s">
        <v>658</v>
      </c>
      <c r="B24" s="242"/>
      <c r="C24" s="243"/>
      <c r="D24" s="243"/>
      <c r="E24" s="243"/>
      <c r="F24" s="243"/>
      <c r="G24" s="244"/>
    </row>
    <row r="25" spans="1:7" ht="24.75" customHeight="1">
      <c r="A25" s="241" t="s">
        <v>673</v>
      </c>
      <c r="B25" s="242">
        <v>3139</v>
      </c>
      <c r="C25" s="247">
        <f>C26+C27+C28</f>
        <v>99.500000000000014</v>
      </c>
      <c r="D25" s="247">
        <f>D26+D27+D28</f>
        <v>156.80000000000001</v>
      </c>
      <c r="E25" s="247"/>
      <c r="F25" s="247">
        <f t="shared" si="1"/>
        <v>-156.80000000000001</v>
      </c>
      <c r="G25" s="326">
        <f t="shared" si="2"/>
        <v>0</v>
      </c>
    </row>
    <row r="26" spans="1:7" ht="24.75" customHeight="1">
      <c r="A26" s="245" t="s">
        <v>678</v>
      </c>
      <c r="B26" s="238"/>
      <c r="C26" s="243">
        <v>26.6</v>
      </c>
      <c r="D26" s="243">
        <v>45.6</v>
      </c>
      <c r="E26" s="243"/>
      <c r="F26" s="239"/>
      <c r="G26" s="240"/>
    </row>
    <row r="27" spans="1:7" ht="24.75" customHeight="1">
      <c r="A27" s="245" t="s">
        <v>679</v>
      </c>
      <c r="B27" s="238"/>
      <c r="C27" s="243">
        <v>66.2</v>
      </c>
      <c r="D27" s="243">
        <v>111.2</v>
      </c>
      <c r="E27" s="243"/>
      <c r="F27" s="239"/>
      <c r="G27" s="240"/>
    </row>
    <row r="28" spans="1:7" ht="21" customHeight="1">
      <c r="A28" s="245" t="s">
        <v>680</v>
      </c>
      <c r="B28" s="242"/>
      <c r="C28" s="243">
        <v>6.7</v>
      </c>
      <c r="D28" s="243"/>
      <c r="E28" s="243">
        <v>8.1999999999999993</v>
      </c>
      <c r="F28" s="239">
        <f t="shared" si="1"/>
        <v>8.1999999999999993</v>
      </c>
      <c r="G28" s="240" t="e">
        <f t="shared" si="2"/>
        <v>#DIV/0!</v>
      </c>
    </row>
    <row r="29" spans="1:7" ht="33.75" customHeight="1">
      <c r="A29" s="237" t="s">
        <v>659</v>
      </c>
      <c r="B29" s="238"/>
      <c r="C29" s="239"/>
      <c r="D29" s="239"/>
      <c r="E29" s="239"/>
      <c r="F29" s="239"/>
      <c r="G29" s="240"/>
    </row>
    <row r="30" spans="1:7" ht="42" customHeight="1">
      <c r="A30" s="241" t="s">
        <v>660</v>
      </c>
      <c r="B30" s="242">
        <v>3200</v>
      </c>
      <c r="C30" s="247">
        <f>C31</f>
        <v>9723.7999999999993</v>
      </c>
      <c r="D30" s="247"/>
      <c r="E30" s="247">
        <f>E31</f>
        <v>204.8</v>
      </c>
      <c r="F30" s="247">
        <f t="shared" ref="F30" si="11">E30-D30</f>
        <v>204.8</v>
      </c>
      <c r="G30" s="326" t="e">
        <f t="shared" ref="G30" si="12">(E30/D30)*100</f>
        <v>#DIV/0!</v>
      </c>
    </row>
    <row r="31" spans="1:7" ht="24.75" customHeight="1">
      <c r="A31" s="241" t="s">
        <v>672</v>
      </c>
      <c r="B31" s="242">
        <v>3210</v>
      </c>
      <c r="C31" s="247">
        <f>C32</f>
        <v>9723.7999999999993</v>
      </c>
      <c r="D31" s="247"/>
      <c r="E31" s="247">
        <f>E32</f>
        <v>204.8</v>
      </c>
      <c r="F31" s="247">
        <f t="shared" si="1"/>
        <v>204.8</v>
      </c>
      <c r="G31" s="326" t="e">
        <f t="shared" si="2"/>
        <v>#DIV/0!</v>
      </c>
    </row>
    <row r="32" spans="1:7" ht="21" customHeight="1">
      <c r="A32" s="245" t="str">
        <f>'Розшифровка 1 до Формування'!B16</f>
        <v>кошти Вінницької міської територіальної громади (ВМТГ)</v>
      </c>
      <c r="B32" s="242"/>
      <c r="C32" s="243">
        <v>9723.7999999999993</v>
      </c>
      <c r="D32" s="243"/>
      <c r="E32" s="243">
        <v>204.8</v>
      </c>
      <c r="F32" s="239">
        <f t="shared" si="1"/>
        <v>204.8</v>
      </c>
      <c r="G32" s="240" t="e">
        <f t="shared" si="2"/>
        <v>#DIV/0!</v>
      </c>
    </row>
    <row r="33" spans="1:7" ht="28.5" customHeight="1">
      <c r="A33" s="241" t="s">
        <v>661</v>
      </c>
      <c r="B33" s="242"/>
      <c r="C33" s="243"/>
      <c r="D33" s="243"/>
      <c r="E33" s="243"/>
      <c r="F33" s="243"/>
      <c r="G33" s="244"/>
    </row>
    <row r="34" spans="1:7" ht="33.75" customHeight="1">
      <c r="A34" s="333" t="s">
        <v>662</v>
      </c>
      <c r="B34" s="260">
        <v>3260</v>
      </c>
      <c r="C34" s="247">
        <f>C35+C92+C184+C186</f>
        <v>10136.099999999999</v>
      </c>
      <c r="D34" s="247">
        <f>D35+D92+D184</f>
        <v>136.1</v>
      </c>
      <c r="E34" s="247">
        <f>E35+E92+E184+E186</f>
        <v>1776.9999999999998</v>
      </c>
      <c r="F34" s="331">
        <f t="shared" si="1"/>
        <v>1640.8999999999999</v>
      </c>
      <c r="G34" s="332">
        <f t="shared" si="2"/>
        <v>1305.6576047024246</v>
      </c>
    </row>
    <row r="35" spans="1:7" s="248" customFormat="1" ht="45" customHeight="1">
      <c r="A35" s="241" t="s">
        <v>674</v>
      </c>
      <c r="B35" s="327">
        <v>3266</v>
      </c>
      <c r="C35" s="247">
        <f>SUM(C36:C91)</f>
        <v>5896.7999999999993</v>
      </c>
      <c r="D35" s="247">
        <f>SUM(D36:D91)</f>
        <v>136.1</v>
      </c>
      <c r="E35" s="247">
        <f>SUM(E36:E91)</f>
        <v>926.99999999999989</v>
      </c>
      <c r="F35" s="247">
        <f t="shared" si="1"/>
        <v>790.89999999999986</v>
      </c>
      <c r="G35" s="326">
        <f t="shared" si="2"/>
        <v>681.11682586333563</v>
      </c>
    </row>
    <row r="36" spans="1:7" s="248" customFormat="1" ht="21.75" customHeight="1">
      <c r="A36" s="245" t="str">
        <f>'Розшифровка кап'!A7</f>
        <v>набір шаф 1 комплект</v>
      </c>
      <c r="B36" s="246"/>
      <c r="C36" s="239">
        <f>'Розшифровка кап'!C7</f>
        <v>8.5</v>
      </c>
      <c r="D36" s="239">
        <f>'Розшифровка кап'!D7</f>
        <v>0</v>
      </c>
      <c r="E36" s="239">
        <f>'Розшифровка кап'!E7</f>
        <v>0</v>
      </c>
      <c r="F36" s="239"/>
      <c r="G36" s="240"/>
    </row>
    <row r="37" spans="1:7" s="248" customFormat="1" ht="21.75" customHeight="1">
      <c r="A37" s="245" t="str">
        <f>'Розшифровка кап'!A8</f>
        <v>шафа-купе з тумбою</v>
      </c>
      <c r="B37" s="246"/>
      <c r="C37" s="239">
        <f>'Розшифровка кап'!C8</f>
        <v>10.6</v>
      </c>
      <c r="D37" s="239">
        <f>'Розшифровка кап'!D8</f>
        <v>0</v>
      </c>
      <c r="E37" s="239">
        <f>'Розшифровка кап'!E8</f>
        <v>0</v>
      </c>
      <c r="F37" s="239"/>
      <c r="G37" s="240"/>
    </row>
    <row r="38" spans="1:7" s="248" customFormat="1" ht="21.75" customHeight="1">
      <c r="A38" s="245" t="str">
        <f>'Розшифровка кап'!A9</f>
        <v>комплект стелажів</v>
      </c>
      <c r="B38" s="246"/>
      <c r="C38" s="239">
        <f>'Розшифровка кап'!C9</f>
        <v>15.8</v>
      </c>
      <c r="D38" s="239">
        <f>'Розшифровка кап'!D9</f>
        <v>0</v>
      </c>
      <c r="E38" s="239">
        <f>'Розшифровка кап'!E9</f>
        <v>0</v>
      </c>
      <c r="F38" s="239"/>
      <c r="G38" s="240"/>
    </row>
    <row r="39" spans="1:7" s="248" customFormat="1" ht="21.75" customHeight="1">
      <c r="A39" s="245" t="str">
        <f>'Розшифровка кап'!A10</f>
        <v>припливно-витяжна система вентиляції повітря (11 шт)</v>
      </c>
      <c r="B39" s="246"/>
      <c r="C39" s="239">
        <v>148</v>
      </c>
      <c r="D39" s="239">
        <f>'Розшифровка кап'!D10</f>
        <v>0</v>
      </c>
      <c r="E39" s="239">
        <f>'Розшифровка кап'!E10</f>
        <v>0</v>
      </c>
      <c r="F39" s="239"/>
      <c r="G39" s="240"/>
    </row>
    <row r="40" spans="1:7" s="248" customFormat="1" ht="21" customHeight="1">
      <c r="A40" s="245" t="str">
        <f>'Розшифровка кап'!A11</f>
        <v>фотокалітичний знезаражувач і очисник повітря (7 шт)</v>
      </c>
      <c r="B40" s="246"/>
      <c r="C40" s="239">
        <f>'Розшифровка кап'!C11</f>
        <v>49</v>
      </c>
      <c r="D40" s="239">
        <f>'Розшифровка кап'!D11</f>
        <v>0</v>
      </c>
      <c r="E40" s="239">
        <f>'Розшифровка кап'!E11</f>
        <v>0</v>
      </c>
      <c r="F40" s="239"/>
      <c r="G40" s="240"/>
    </row>
    <row r="41" spans="1:7" s="248" customFormat="1" ht="21.75" customHeight="1">
      <c r="A41" s="245" t="str">
        <f>'Розшифровка кап'!A12</f>
        <v>установка (рамка) дезінфікуюча (4 шт)</v>
      </c>
      <c r="B41" s="246"/>
      <c r="C41" s="239">
        <f>'Розшифровка кап'!C12</f>
        <v>40.799999999999997</v>
      </c>
      <c r="D41" s="239">
        <f>'Розшифровка кап'!D12</f>
        <v>0</v>
      </c>
      <c r="E41" s="239">
        <f>'Розшифровка кап'!E12</f>
        <v>0</v>
      </c>
      <c r="F41" s="239"/>
      <c r="G41" s="240"/>
    </row>
    <row r="42" spans="1:7" s="248" customFormat="1" ht="21.75" customHeight="1">
      <c r="A42" s="245" t="str">
        <f>'Розшифровка кап'!A13</f>
        <v>автоматичний біохімічний аналізатор ACCENT</v>
      </c>
      <c r="B42" s="246"/>
      <c r="C42" s="239">
        <f>'Розшифровка кап'!C13</f>
        <v>604.70000000000005</v>
      </c>
      <c r="D42" s="239">
        <f>'Розшифровка кап'!D13</f>
        <v>0</v>
      </c>
      <c r="E42" s="239">
        <f>'Розшифровка кап'!E13</f>
        <v>0</v>
      </c>
      <c r="F42" s="239"/>
      <c r="G42" s="240"/>
    </row>
    <row r="43" spans="1:7" s="248" customFormat="1" ht="21.75" customHeight="1">
      <c r="A43" s="245" t="str">
        <f>'Розшифровка кап'!A14</f>
        <v>автоматичний гематологічний аналізатор Abacus</v>
      </c>
      <c r="B43" s="246"/>
      <c r="C43" s="239">
        <f>'Розшифровка кап'!C14</f>
        <v>189.9</v>
      </c>
      <c r="D43" s="239">
        <f>'Розшифровка кап'!D14</f>
        <v>0</v>
      </c>
      <c r="E43" s="239">
        <f>'Розшифровка кап'!E14</f>
        <v>0</v>
      </c>
      <c r="F43" s="239"/>
      <c r="G43" s="240"/>
    </row>
    <row r="44" spans="1:7" s="248" customFormat="1" ht="21.75" customHeight="1">
      <c r="A44" s="245" t="str">
        <f>'Розшифровка кап'!A15</f>
        <v xml:space="preserve">дефібрилятор-монітор BeneHeart </v>
      </c>
      <c r="B44" s="246"/>
      <c r="C44" s="239">
        <f>'Розшифровка кап'!C15</f>
        <v>175.7</v>
      </c>
      <c r="D44" s="239">
        <f>'Розшифровка кап'!D15</f>
        <v>0</v>
      </c>
      <c r="E44" s="239">
        <f>'Розшифровка кап'!E15</f>
        <v>0</v>
      </c>
      <c r="F44" s="239"/>
      <c r="G44" s="240"/>
    </row>
    <row r="45" spans="1:7" s="248" customFormat="1" ht="21.75" customHeight="1">
      <c r="A45" s="245" t="str">
        <f>'Розшифровка кап'!A16</f>
        <v>насос шприцевий BeneFusion (8 шт)</v>
      </c>
      <c r="B45" s="246"/>
      <c r="C45" s="239">
        <f>'Розшифровка кап'!C16</f>
        <v>161.69999999999999</v>
      </c>
      <c r="D45" s="239">
        <f>'Розшифровка кап'!D16</f>
        <v>0</v>
      </c>
      <c r="E45" s="239">
        <f>'Розшифровка кап'!E16</f>
        <v>103.7</v>
      </c>
      <c r="F45" s="239"/>
      <c r="G45" s="240"/>
    </row>
    <row r="46" spans="1:7" s="248" customFormat="1" ht="21.75" customHeight="1">
      <c r="A46" s="245" t="str">
        <f>'Розшифровка кап'!A17</f>
        <v>напівавтоматичний 2-канальний коагулометр</v>
      </c>
      <c r="B46" s="246"/>
      <c r="C46" s="239">
        <f>'Розшифровка кап'!C17</f>
        <v>67.900000000000006</v>
      </c>
      <c r="D46" s="239">
        <f>'Розшифровка кап'!D17</f>
        <v>0</v>
      </c>
      <c r="E46" s="239">
        <f>'Розшифровка кап'!E17</f>
        <v>0</v>
      </c>
      <c r="F46" s="239"/>
      <c r="G46" s="240"/>
    </row>
    <row r="47" spans="1:7" s="248" customFormat="1" ht="21.75" customHeight="1">
      <c r="A47" s="245" t="str">
        <f>'Розшифровка кап'!A18</f>
        <v>опромінювач з пеленальним столом типу АИСТ-3</v>
      </c>
      <c r="B47" s="246"/>
      <c r="C47" s="239">
        <f>'Розшифровка кап'!C18</f>
        <v>59.9</v>
      </c>
      <c r="D47" s="239">
        <f>'Розшифровка кап'!D18</f>
        <v>0</v>
      </c>
      <c r="E47" s="239">
        <f>'Розшифровка кап'!E18</f>
        <v>0</v>
      </c>
      <c r="F47" s="239"/>
      <c r="G47" s="240"/>
    </row>
    <row r="48" spans="1:7" s="248" customFormat="1" ht="21.75" customHeight="1">
      <c r="A48" s="245" t="str">
        <f>'Розшифровка кап'!A19</f>
        <v>реаніматор для новонароджених Т-типу NeopuffTM (2 шт)</v>
      </c>
      <c r="B48" s="246"/>
      <c r="C48" s="239">
        <f>'Розшифровка кап'!C19</f>
        <v>245</v>
      </c>
      <c r="D48" s="239">
        <f>'Розшифровка кап'!D19</f>
        <v>0</v>
      </c>
      <c r="E48" s="239">
        <f>'Розшифровка кап'!E19</f>
        <v>0</v>
      </c>
      <c r="F48" s="239"/>
      <c r="G48" s="240"/>
    </row>
    <row r="49" spans="1:7" s="248" customFormat="1" ht="21.75" customHeight="1">
      <c r="A49" s="245" t="str">
        <f>'Розшифровка кап'!A20</f>
        <v>ультразвукова система Affiniti</v>
      </c>
      <c r="B49" s="246"/>
      <c r="C49" s="239">
        <f>'Розшифровка кап'!C20</f>
        <v>1348.6</v>
      </c>
      <c r="D49" s="239">
        <f>'Розшифровка кап'!D20</f>
        <v>0</v>
      </c>
      <c r="E49" s="239">
        <f>'Розшифровка кап'!E20</f>
        <v>0</v>
      </c>
      <c r="F49" s="239"/>
      <c r="G49" s="240"/>
    </row>
    <row r="50" spans="1:7" s="248" customFormat="1" ht="21.75" customHeight="1">
      <c r="A50" s="245" t="str">
        <f>'Розшифровка кап'!A21</f>
        <v>ІФА аналізатор в комплекті</v>
      </c>
      <c r="B50" s="246"/>
      <c r="C50" s="239">
        <f>'Розшифровка кап'!C21</f>
        <v>173</v>
      </c>
      <c r="D50" s="239">
        <f>'Розшифровка кап'!D21</f>
        <v>0</v>
      </c>
      <c r="E50" s="239">
        <f>'Розшифровка кап'!E21</f>
        <v>0</v>
      </c>
      <c r="F50" s="239"/>
      <c r="G50" s="240"/>
    </row>
    <row r="51" spans="1:7" s="248" customFormat="1" ht="21.75" customHeight="1">
      <c r="A51" s="245" t="str">
        <f>'Розшифровка кап'!A22</f>
        <v>система Mistral</v>
      </c>
      <c r="B51" s="246"/>
      <c r="C51" s="239">
        <f>'Розшифровка кап'!C22</f>
        <v>36</v>
      </c>
      <c r="D51" s="239">
        <f>'Розшифровка кап'!D22</f>
        <v>0</v>
      </c>
      <c r="E51" s="239">
        <f>'Розшифровка кап'!E22</f>
        <v>0</v>
      </c>
      <c r="F51" s="239"/>
      <c r="G51" s="240"/>
    </row>
    <row r="52" spans="1:7" s="248" customFormat="1" ht="21.75" customHeight="1">
      <c r="A52" s="245" t="str">
        <f>'Розшифровка кап'!A23</f>
        <v>повітряний компресор (2 шт)</v>
      </c>
      <c r="B52" s="246"/>
      <c r="C52" s="239">
        <f>'Розшифровка кап'!C23</f>
        <v>96</v>
      </c>
      <c r="D52" s="239">
        <f>'Розшифровка кап'!D23</f>
        <v>0</v>
      </c>
      <c r="E52" s="239">
        <f>'Розшифровка кап'!E23</f>
        <v>0</v>
      </c>
      <c r="F52" s="239"/>
      <c r="G52" s="240"/>
    </row>
    <row r="53" spans="1:7" s="248" customFormat="1" ht="45" customHeight="1">
      <c r="A53" s="245" t="str">
        <f>'Розшифровка кап'!A24</f>
        <v>система автоматична інфузійна Infusomat Compact Plus насос волюметричний інфузійний</v>
      </c>
      <c r="B53" s="246"/>
      <c r="C53" s="239">
        <f>'Розшифровка кап'!C24</f>
        <v>74.599999999999994</v>
      </c>
      <c r="D53" s="239">
        <f>'Розшифровка кап'!D24</f>
        <v>0</v>
      </c>
      <c r="E53" s="239">
        <f>'Розшифровка кап'!E24</f>
        <v>0</v>
      </c>
      <c r="F53" s="239"/>
      <c r="G53" s="240"/>
    </row>
    <row r="54" spans="1:7" s="248" customFormat="1" ht="21.75" customHeight="1">
      <c r="A54" s="245" t="str">
        <f>'Розшифровка кап'!A25</f>
        <v>аналізатор газів крові</v>
      </c>
      <c r="B54" s="246"/>
      <c r="C54" s="239">
        <f>'Розшифровка кап'!C25</f>
        <v>284</v>
      </c>
      <c r="D54" s="239">
        <f>'Розшифровка кап'!D25</f>
        <v>0</v>
      </c>
      <c r="E54" s="239">
        <f>'Розшифровка кап'!E25</f>
        <v>0</v>
      </c>
      <c r="F54" s="239"/>
      <c r="G54" s="240"/>
    </row>
    <row r="55" spans="1:7" s="248" customFormat="1" ht="21.75" customHeight="1">
      <c r="A55" s="245" t="str">
        <f>'Розшифровка кап'!A26</f>
        <v>пральна машина Indesit</v>
      </c>
      <c r="B55" s="246"/>
      <c r="C55" s="239">
        <f>'Розшифровка кап'!C26</f>
        <v>7.5</v>
      </c>
      <c r="D55" s="239">
        <f>'Розшифровка кап'!D26</f>
        <v>0</v>
      </c>
      <c r="E55" s="239">
        <f>'Розшифровка кап'!E26</f>
        <v>0</v>
      </c>
      <c r="F55" s="239"/>
      <c r="G55" s="240"/>
    </row>
    <row r="56" spans="1:7" s="248" customFormat="1" ht="21.75" customHeight="1">
      <c r="A56" s="245" t="str">
        <f>'Розшифровка кап'!A27</f>
        <v>центрифуга лабораторна</v>
      </c>
      <c r="B56" s="246"/>
      <c r="C56" s="239">
        <f>'Розшифровка кап'!C27</f>
        <v>11.8</v>
      </c>
      <c r="D56" s="239">
        <f>'Розшифровка кап'!D27</f>
        <v>0</v>
      </c>
      <c r="E56" s="239">
        <f>'Розшифровка кап'!E27</f>
        <v>0</v>
      </c>
      <c r="F56" s="239"/>
      <c r="G56" s="240"/>
    </row>
    <row r="57" spans="1:7" s="248" customFormat="1" ht="21.75" customHeight="1">
      <c r="A57" s="245" t="str">
        <f>'Розшифровка кап'!A28</f>
        <v>вантажний автомобіль CKC PGP-05 PK (рефрижераторний)</v>
      </c>
      <c r="B57" s="246"/>
      <c r="C57" s="239">
        <f>'Розшифровка кап'!C28</f>
        <v>647</v>
      </c>
      <c r="D57" s="239">
        <f>'Розшифровка кап'!D28</f>
        <v>0</v>
      </c>
      <c r="E57" s="239">
        <f>'Розшифровка кап'!E28</f>
        <v>0</v>
      </c>
      <c r="F57" s="239"/>
      <c r="G57" s="240"/>
    </row>
    <row r="58" spans="1:7" s="248" customFormat="1" ht="21.75" customHeight="1">
      <c r="A58" s="245" t="str">
        <f>'Розшифровка кап'!A29</f>
        <v>шафа шестисекційна</v>
      </c>
      <c r="B58" s="246"/>
      <c r="C58" s="239">
        <f>'Розшифровка кап'!C29</f>
        <v>39.5</v>
      </c>
      <c r="D58" s="239">
        <f>'Розшифровка кап'!D29</f>
        <v>0</v>
      </c>
      <c r="E58" s="239">
        <f>'Розшифровка кап'!E29</f>
        <v>0</v>
      </c>
      <c r="F58" s="239"/>
      <c r="G58" s="240"/>
    </row>
    <row r="59" spans="1:7" s="248" customFormat="1" ht="21.75" customHeight="1">
      <c r="A59" s="245" t="str">
        <f>'Розшифровка кап'!A30</f>
        <v>шафа з вітриною</v>
      </c>
      <c r="B59" s="246"/>
      <c r="C59" s="239">
        <f>'Розшифровка кап'!C30</f>
        <v>18.7</v>
      </c>
      <c r="D59" s="239">
        <f>'Розшифровка кап'!D30</f>
        <v>0</v>
      </c>
      <c r="E59" s="239">
        <f>'Розшифровка кап'!E30</f>
        <v>0</v>
      </c>
      <c r="F59" s="239"/>
      <c r="G59" s="240"/>
    </row>
    <row r="60" spans="1:7" s="248" customFormat="1" ht="21.75" customHeight="1">
      <c r="A60" s="245" t="str">
        <f>'Розшифровка кап'!A32</f>
        <v>аудіометр Sentiero Screening</v>
      </c>
      <c r="B60" s="246"/>
      <c r="C60" s="239">
        <f>'Розшифровка кап'!C32</f>
        <v>235.2</v>
      </c>
      <c r="D60" s="239">
        <f>'Розшифровка кап'!D32</f>
        <v>0</v>
      </c>
      <c r="E60" s="239">
        <f>'Розшифровка кап'!E32</f>
        <v>0</v>
      </c>
      <c r="F60" s="239"/>
      <c r="G60" s="240"/>
    </row>
    <row r="61" spans="1:7" s="248" customFormat="1" ht="21.75" customHeight="1">
      <c r="A61" s="245" t="str">
        <f>'Розшифровка кап'!A33</f>
        <v>столик анастезіолога, стільниця з нержавіючої сталі СА-3</v>
      </c>
      <c r="B61" s="246"/>
      <c r="C61" s="239">
        <f>'Розшифровка кап'!C33</f>
        <v>7.7</v>
      </c>
      <c r="D61" s="239">
        <f>'Розшифровка кап'!D33</f>
        <v>0</v>
      </c>
      <c r="E61" s="239">
        <f>'Розшифровка кап'!E33</f>
        <v>0</v>
      </c>
      <c r="F61" s="239"/>
      <c r="G61" s="240"/>
    </row>
    <row r="62" spans="1:7" s="248" customFormat="1" ht="21.75" customHeight="1">
      <c r="A62" s="245" t="str">
        <f>'Розшифровка кап'!A34</f>
        <v>шафа медична для ендоскопів ШМБ 15-Е</v>
      </c>
      <c r="B62" s="246"/>
      <c r="C62" s="239">
        <f>'Розшифровка кап'!C34</f>
        <v>16.8</v>
      </c>
      <c r="D62" s="239">
        <f>'Розшифровка кап'!D34</f>
        <v>0</v>
      </c>
      <c r="E62" s="239">
        <f>'Розшифровка кап'!E34</f>
        <v>0</v>
      </c>
      <c r="F62" s="239"/>
      <c r="G62" s="240"/>
    </row>
    <row r="63" spans="1:7" s="248" customFormat="1" ht="21.75" customHeight="1">
      <c r="A63" s="245" t="str">
        <f>'Розшифровка кап'!A35</f>
        <v>шафа матеріальна (2 шт)</v>
      </c>
      <c r="B63" s="246"/>
      <c r="C63" s="239">
        <f>'Розшифровка кап'!C35</f>
        <v>22.3</v>
      </c>
      <c r="D63" s="239">
        <f>'Розшифровка кап'!D35</f>
        <v>0</v>
      </c>
      <c r="E63" s="239">
        <f>'Розшифровка кап'!E35</f>
        <v>0</v>
      </c>
      <c r="F63" s="239"/>
      <c r="G63" s="240"/>
    </row>
    <row r="64" spans="1:7" s="248" customFormat="1" ht="21.75" customHeight="1">
      <c r="A64" s="245" t="str">
        <f>'Розшифровка кап'!A36</f>
        <v>світильник оглядовий 12 світлодіодів сенсорний VioLight-2</v>
      </c>
      <c r="B64" s="246"/>
      <c r="C64" s="239">
        <f>'Розшифровка кап'!C36</f>
        <v>13.9</v>
      </c>
      <c r="D64" s="239">
        <f>'Розшифровка кап'!D36</f>
        <v>0</v>
      </c>
      <c r="E64" s="239">
        <f>'Розшифровка кап'!E36</f>
        <v>0</v>
      </c>
      <c r="F64" s="239"/>
      <c r="G64" s="240"/>
    </row>
    <row r="65" spans="1:7" s="248" customFormat="1" ht="21.75" customHeight="1">
      <c r="A65" s="245" t="str">
        <f>'Розшифровка кап'!A37</f>
        <v>монітор пацієнта IMEG10 Mindray</v>
      </c>
      <c r="B65" s="246"/>
      <c r="C65" s="239">
        <f>'Розшифровка кап'!C37</f>
        <v>209.6</v>
      </c>
      <c r="D65" s="239">
        <f>'Розшифровка кап'!D37</f>
        <v>0</v>
      </c>
      <c r="E65" s="239">
        <f>'Розшифровка кап'!E37</f>
        <v>0</v>
      </c>
      <c r="F65" s="239"/>
      <c r="G65" s="240"/>
    </row>
    <row r="66" spans="1:7" s="248" customFormat="1" ht="21.75" customHeight="1">
      <c r="A66" s="245" t="str">
        <f>'Розшифровка кап'!A38</f>
        <v>апарат для штучної вентиляції легень SLE1000 СРАР (Англія)</v>
      </c>
      <c r="B66" s="246"/>
      <c r="C66" s="239">
        <f>'Розшифровка кап'!C38</f>
        <v>858.9</v>
      </c>
      <c r="D66" s="239">
        <f>'Розшифровка кап'!D38</f>
        <v>0</v>
      </c>
      <c r="E66" s="239">
        <f>'Розшифровка кап'!E38</f>
        <v>0</v>
      </c>
      <c r="F66" s="239"/>
      <c r="G66" s="240"/>
    </row>
    <row r="67" spans="1:7" s="248" customFormat="1" ht="39.75" customHeight="1">
      <c r="A67" s="245" t="str">
        <f>'Розшифровка кап'!A39</f>
        <v>відсмоктувач медичний "БІОМЕД" електричний, модель 7А-23В (20л) (5 шт)</v>
      </c>
      <c r="B67" s="246"/>
      <c r="C67" s="239">
        <f>'Розшифровка кап'!C39</f>
        <v>18.2</v>
      </c>
      <c r="D67" s="239">
        <f>'Розшифровка кап'!D39</f>
        <v>0</v>
      </c>
      <c r="E67" s="239">
        <f>'Розшифровка кап'!E39</f>
        <v>0</v>
      </c>
      <c r="F67" s="239"/>
      <c r="G67" s="240"/>
    </row>
    <row r="68" spans="1:7" s="248" customFormat="1" ht="52.5" customHeight="1">
      <c r="A68" s="245" t="str">
        <f>'Розшифровка кап'!A49</f>
        <v>портативний пульсоксиметр CX130  укомплектований датчиком SpO2 для новонароджених або педіатричним багаторазового використання (4 шт)</v>
      </c>
      <c r="B68" s="246"/>
      <c r="C68" s="239">
        <f>'Розшифровка кап'!C49</f>
        <v>0</v>
      </c>
      <c r="D68" s="239">
        <f>'Розшифровка кап'!D49</f>
        <v>136.1</v>
      </c>
      <c r="E68" s="239">
        <f>'Розшифровка кап'!E49</f>
        <v>0</v>
      </c>
      <c r="F68" s="239"/>
      <c r="G68" s="240"/>
    </row>
    <row r="69" spans="1:7" s="248" customFormat="1" ht="40.5" customHeight="1">
      <c r="A69" s="245" t="str">
        <f>'Розшифровка кап'!A50</f>
        <v xml:space="preserve">вертикальний підйомник для інвалідів та інших мало мобільних груп населення (2 шт)                                                 </v>
      </c>
      <c r="B69" s="246"/>
      <c r="C69" s="239">
        <f>'Розшифровка кап'!C50</f>
        <v>0</v>
      </c>
      <c r="D69" s="239">
        <f>'Розшифровка кап'!D50</f>
        <v>0</v>
      </c>
      <c r="E69" s="239">
        <f>'Розшифровка кап'!E50</f>
        <v>64.400000000000006</v>
      </c>
      <c r="F69" s="239"/>
      <c r="G69" s="240"/>
    </row>
    <row r="70" spans="1:7" s="248" customFormat="1" ht="21.75" customHeight="1">
      <c r="A70" s="245" t="str">
        <f>'Розшифровка кап'!A51</f>
        <v xml:space="preserve">шафа з вітриною 2,3*2,4*0,5          </v>
      </c>
      <c r="B70" s="246"/>
      <c r="C70" s="239">
        <f>'Розшифровка кап'!C51</f>
        <v>0</v>
      </c>
      <c r="D70" s="239">
        <f>'Розшифровка кап'!D51</f>
        <v>0</v>
      </c>
      <c r="E70" s="239">
        <f>'Розшифровка кап'!E51</f>
        <v>22</v>
      </c>
      <c r="F70" s="239"/>
      <c r="G70" s="240"/>
    </row>
    <row r="71" spans="1:7" s="248" customFormat="1" ht="21.75" customHeight="1">
      <c r="A71" s="245" t="str">
        <f>'Розшифровка кап'!A52</f>
        <v xml:space="preserve">шафа універсальна 2-х секційна 2,0*1,0*0,45    </v>
      </c>
      <c r="B71" s="246"/>
      <c r="C71" s="239">
        <f>'Розшифровка кап'!C52</f>
        <v>0</v>
      </c>
      <c r="D71" s="239">
        <f>'Розшифровка кап'!D52</f>
        <v>0</v>
      </c>
      <c r="E71" s="239">
        <f>'Розшифровка кап'!E52</f>
        <v>6.4</v>
      </c>
      <c r="F71" s="239"/>
      <c r="G71" s="240"/>
    </row>
    <row r="72" spans="1:7" s="248" customFormat="1" ht="21.75" customHeight="1">
      <c r="A72" s="245" t="str">
        <f>'Розшифровка кап'!A53</f>
        <v xml:space="preserve">шафа 2,3*1,05*0,6   </v>
      </c>
      <c r="B72" s="246"/>
      <c r="C72" s="239">
        <f>'Розшифровка кап'!C53</f>
        <v>0</v>
      </c>
      <c r="D72" s="239">
        <f>'Розшифровка кап'!D53</f>
        <v>0</v>
      </c>
      <c r="E72" s="239">
        <f>'Розшифровка кап'!E53</f>
        <v>7.2</v>
      </c>
      <c r="F72" s="239"/>
      <c r="G72" s="240"/>
    </row>
    <row r="73" spans="1:7" s="248" customFormat="1" ht="21.75" customHeight="1">
      <c r="A73" s="245" t="str">
        <f>'Розшифровка кап'!A54</f>
        <v>шафа 2,3*1,2*0,6</v>
      </c>
      <c r="B73" s="246"/>
      <c r="C73" s="239">
        <f>'Розшифровка кап'!C54</f>
        <v>0</v>
      </c>
      <c r="D73" s="239">
        <f>'Розшифровка кап'!D54</f>
        <v>0</v>
      </c>
      <c r="E73" s="239">
        <f>'Розшифровка кап'!E54</f>
        <v>8.1</v>
      </c>
      <c r="F73" s="239"/>
      <c r="G73" s="240"/>
    </row>
    <row r="74" spans="1:7" s="248" customFormat="1" ht="21.75" customHeight="1">
      <c r="A74" s="245" t="str">
        <f>'Розшифровка кап'!A55</f>
        <v xml:space="preserve">кольпоскоп МК-300 з відеосистемою       </v>
      </c>
      <c r="B74" s="246"/>
      <c r="C74" s="239">
        <f>'Розшифровка кап'!C55</f>
        <v>0</v>
      </c>
      <c r="D74" s="239">
        <f>'Розшифровка кап'!D55</f>
        <v>0</v>
      </c>
      <c r="E74" s="239">
        <f>'Розшифровка кап'!E55</f>
        <v>78.7</v>
      </c>
      <c r="F74" s="239"/>
      <c r="G74" s="240"/>
    </row>
    <row r="75" spans="1:7" s="248" customFormat="1" ht="39" customHeight="1">
      <c r="A75" s="245" t="str">
        <f>'Розшифровка кап'!A56</f>
        <v xml:space="preserve">джерело безперебійного живлення Powercom Macan MAC OnLine                                </v>
      </c>
      <c r="B75" s="246"/>
      <c r="C75" s="239">
        <f>'Розшифровка кап'!C56</f>
        <v>0</v>
      </c>
      <c r="D75" s="239">
        <f>'Розшифровка кап'!D56</f>
        <v>0</v>
      </c>
      <c r="E75" s="239">
        <f>'Розшифровка кап'!E56</f>
        <v>16.600000000000001</v>
      </c>
      <c r="F75" s="239"/>
      <c r="G75" s="240"/>
    </row>
    <row r="76" spans="1:7" s="248" customFormat="1" ht="21.75" customHeight="1">
      <c r="A76" s="245" t="str">
        <f>'Розшифровка кап'!A57</f>
        <v>шафа</v>
      </c>
      <c r="B76" s="246"/>
      <c r="C76" s="239">
        <f>'Розшифровка кап'!C57</f>
        <v>0</v>
      </c>
      <c r="D76" s="239">
        <f>'Розшифровка кап'!D57</f>
        <v>0</v>
      </c>
      <c r="E76" s="239">
        <f>'Розшифровка кап'!E57</f>
        <v>6</v>
      </c>
      <c r="F76" s="239"/>
      <c r="G76" s="240"/>
    </row>
    <row r="77" spans="1:7" s="248" customFormat="1" ht="21.75" customHeight="1">
      <c r="A77" s="245" t="str">
        <f>'Розшифровка кап'!A58</f>
        <v xml:space="preserve">кухня ДСП з стіновою панеллю  </v>
      </c>
      <c r="B77" s="246"/>
      <c r="C77" s="239">
        <f>'Розшифровка кап'!C58</f>
        <v>0</v>
      </c>
      <c r="D77" s="239">
        <f>'Розшифровка кап'!D58</f>
        <v>0</v>
      </c>
      <c r="E77" s="239">
        <f>'Розшифровка кап'!E58</f>
        <v>26.2</v>
      </c>
      <c r="F77" s="239"/>
      <c r="G77" s="240"/>
    </row>
    <row r="78" spans="1:7" s="248" customFormat="1" ht="21.75" customHeight="1">
      <c r="A78" s="245" t="str">
        <f>'Розшифровка кап'!A59</f>
        <v>фонтан</v>
      </c>
      <c r="B78" s="246"/>
      <c r="C78" s="239">
        <f>'Розшифровка кап'!C59</f>
        <v>0</v>
      </c>
      <c r="D78" s="239">
        <f>'Розшифровка кап'!D59</f>
        <v>0</v>
      </c>
      <c r="E78" s="239">
        <f>'Розшифровка кап'!E59</f>
        <v>302.8</v>
      </c>
      <c r="F78" s="239"/>
      <c r="G78" s="240"/>
    </row>
    <row r="79" spans="1:7" s="248" customFormat="1" ht="21.75" customHeight="1">
      <c r="A79" s="245" t="str">
        <f>'Розшифровка кап'!A60</f>
        <v xml:space="preserve">кухонний гарнітур (стільниці з тумбами та мийками) </v>
      </c>
      <c r="B79" s="246"/>
      <c r="C79" s="239">
        <f>'Розшифровка кап'!C60</f>
        <v>0</v>
      </c>
      <c r="D79" s="239">
        <f>'Розшифровка кап'!D60</f>
        <v>0</v>
      </c>
      <c r="E79" s="239">
        <f>'Розшифровка кап'!E60</f>
        <v>28.2</v>
      </c>
      <c r="F79" s="239"/>
      <c r="G79" s="240"/>
    </row>
    <row r="80" spans="1:7" s="248" customFormat="1" ht="21.75" customHeight="1">
      <c r="A80" s="245" t="str">
        <f>'Розшифровка кап'!A61</f>
        <v xml:space="preserve">апарат електрохірургічний "Фотек"     </v>
      </c>
      <c r="B80" s="246"/>
      <c r="C80" s="239">
        <f>'Розшифровка кап'!C61</f>
        <v>0</v>
      </c>
      <c r="D80" s="239">
        <f>'Розшифровка кап'!D61</f>
        <v>0</v>
      </c>
      <c r="E80" s="239">
        <f>'Розшифровка кап'!E61</f>
        <v>17.899999999999999</v>
      </c>
      <c r="F80" s="239"/>
      <c r="G80" s="240"/>
    </row>
    <row r="81" spans="1:7" s="248" customFormat="1" ht="21.75" customHeight="1">
      <c r="A81" s="245" t="str">
        <f>'Розшифровка кап'!A62</f>
        <v xml:space="preserve">Принтер Canon I-SENSYS MF112  </v>
      </c>
      <c r="B81" s="246"/>
      <c r="C81" s="239">
        <f>'Розшифровка кап'!C62</f>
        <v>0</v>
      </c>
      <c r="D81" s="239">
        <f>'Розшифровка кап'!D62</f>
        <v>0</v>
      </c>
      <c r="E81" s="239">
        <f>'Розшифровка кап'!E62</f>
        <v>7.5</v>
      </c>
      <c r="F81" s="239"/>
      <c r="G81" s="240"/>
    </row>
    <row r="82" spans="1:7" s="248" customFormat="1" ht="21.75" customHeight="1">
      <c r="A82" s="245" t="str">
        <f>'Розшифровка кап'!A63</f>
        <v>Світильник операційний ЛЕД (2 шт)</v>
      </c>
      <c r="B82" s="246"/>
      <c r="C82" s="239">
        <f>'Розшифровка кап'!C63</f>
        <v>0</v>
      </c>
      <c r="D82" s="239">
        <f>'Розшифровка кап'!D63</f>
        <v>0</v>
      </c>
      <c r="E82" s="239">
        <f>'Розшифровка кап'!E63</f>
        <v>13.6</v>
      </c>
      <c r="F82" s="239"/>
      <c r="G82" s="240"/>
    </row>
    <row r="83" spans="1:7" s="248" customFormat="1" ht="21.75" customHeight="1">
      <c r="A83" s="245" t="str">
        <f>'Розшифровка кап'!A64</f>
        <v xml:space="preserve">Фетальний монітор L8-P6-PRO        </v>
      </c>
      <c r="B83" s="246"/>
      <c r="C83" s="239">
        <f>'Розшифровка кап'!C64</f>
        <v>0</v>
      </c>
      <c r="D83" s="239">
        <f>'Розшифровка кап'!D64</f>
        <v>0</v>
      </c>
      <c r="E83" s="239">
        <f>'Розшифровка кап'!E64</f>
        <v>58.5</v>
      </c>
      <c r="F83" s="239"/>
      <c r="G83" s="240"/>
    </row>
    <row r="84" spans="1:7" s="248" customFormat="1" ht="21.75" customHeight="1">
      <c r="A84" s="245" t="str">
        <f>'Розшифровка кап'!A65</f>
        <v xml:space="preserve">Система відеонагляду       </v>
      </c>
      <c r="B84" s="246"/>
      <c r="C84" s="239">
        <f>'Розшифровка кап'!C65</f>
        <v>0</v>
      </c>
      <c r="D84" s="239">
        <f>'Розшифровка кап'!D65</f>
        <v>0</v>
      </c>
      <c r="E84" s="239">
        <f>'Розшифровка кап'!E65</f>
        <v>33</v>
      </c>
      <c r="F84" s="239"/>
      <c r="G84" s="240"/>
    </row>
    <row r="85" spans="1:7" s="248" customFormat="1" ht="21.75" customHeight="1">
      <c r="A85" s="245" t="str">
        <f>'Розшифровка кап'!A66</f>
        <v xml:space="preserve">Бойлер Thermex 100л.   </v>
      </c>
      <c r="B85" s="246"/>
      <c r="C85" s="239">
        <f>'Розшифровка кап'!C66</f>
        <v>0</v>
      </c>
      <c r="D85" s="239">
        <f>'Розшифровка кап'!D66</f>
        <v>0</v>
      </c>
      <c r="E85" s="239">
        <f>'Розшифровка кап'!E66</f>
        <v>12.4</v>
      </c>
      <c r="F85" s="239"/>
      <c r="G85" s="240"/>
    </row>
    <row r="86" spans="1:7" s="248" customFormat="1" ht="21.75" customHeight="1">
      <c r="A86" s="245" t="str">
        <f>'Розшифровка кап'!A67</f>
        <v>Шафа</v>
      </c>
      <c r="B86" s="246"/>
      <c r="C86" s="239">
        <f>'Розшифровка кап'!C67</f>
        <v>0</v>
      </c>
      <c r="D86" s="239">
        <f>'Розшифровка кап'!D67</f>
        <v>0</v>
      </c>
      <c r="E86" s="239">
        <f>'Розшифровка кап'!E67</f>
        <v>7.5</v>
      </c>
      <c r="F86" s="239"/>
      <c r="G86" s="240"/>
    </row>
    <row r="87" spans="1:7" s="248" customFormat="1" ht="21.75" customHeight="1">
      <c r="A87" s="245" t="str">
        <f>'Розшифровка кап'!A68</f>
        <v>Кондиціонер Rotex</v>
      </c>
      <c r="B87" s="246"/>
      <c r="C87" s="239">
        <f>'Розшифровка кап'!C68</f>
        <v>0</v>
      </c>
      <c r="D87" s="239">
        <f>'Розшифровка кап'!D68</f>
        <v>0</v>
      </c>
      <c r="E87" s="239">
        <f>'Розшифровка кап'!E68</f>
        <v>7.8</v>
      </c>
      <c r="F87" s="239"/>
      <c r="G87" s="240"/>
    </row>
    <row r="88" spans="1:7" s="248" customFormat="1" ht="21.75" customHeight="1">
      <c r="A88" s="245" t="str">
        <f>'Розшифровка кап'!A69</f>
        <v>Кондиціонер Rotex</v>
      </c>
      <c r="B88" s="246"/>
      <c r="C88" s="239">
        <f>'Розшифровка кап'!C69</f>
        <v>0</v>
      </c>
      <c r="D88" s="239">
        <f>'Розшифровка кап'!D69</f>
        <v>0</v>
      </c>
      <c r="E88" s="239">
        <f>'Розшифровка кап'!E69</f>
        <v>0.4</v>
      </c>
      <c r="F88" s="239"/>
      <c r="G88" s="240"/>
    </row>
    <row r="89" spans="1:7" s="248" customFormat="1" ht="21.75" customHeight="1">
      <c r="A89" s="245" t="str">
        <f>'Розшифровка кап'!A70</f>
        <v>Кондиціонер Electrolux</v>
      </c>
      <c r="B89" s="246"/>
      <c r="C89" s="239">
        <f>'Розшифровка кап'!C70</f>
        <v>0</v>
      </c>
      <c r="D89" s="239">
        <f>'Розшифровка кап'!D70</f>
        <v>0</v>
      </c>
      <c r="E89" s="239">
        <f>'Розшифровка кап'!E70</f>
        <v>7.8</v>
      </c>
      <c r="F89" s="239"/>
      <c r="G89" s="240"/>
    </row>
    <row r="90" spans="1:7" s="248" customFormat="1" ht="20.25" customHeight="1">
      <c r="A90" s="245" t="str">
        <f>'Розшифровка кап'!A71</f>
        <v>Кондиціонер Electrolux</v>
      </c>
      <c r="B90" s="246"/>
      <c r="C90" s="239">
        <f>'Розшифровка кап'!C71</f>
        <v>0</v>
      </c>
      <c r="D90" s="239">
        <f>'Розшифровка кап'!D71</f>
        <v>0</v>
      </c>
      <c r="E90" s="239">
        <f>'Розшифровка кап'!E71</f>
        <v>0.8</v>
      </c>
      <c r="F90" s="239"/>
      <c r="G90" s="240"/>
    </row>
    <row r="91" spans="1:7" s="248" customFormat="1" ht="21.75" customHeight="1">
      <c r="A91" s="245" t="str">
        <f>'Розшифровка кап'!A72</f>
        <v xml:space="preserve">Морцелятор </v>
      </c>
      <c r="B91" s="246"/>
      <c r="C91" s="239">
        <f>'Розшифровка кап'!C72</f>
        <v>0</v>
      </c>
      <c r="D91" s="239">
        <f>'Розшифровка кап'!D72</f>
        <v>0</v>
      </c>
      <c r="E91" s="239">
        <f>'Розшифровка кап'!E72</f>
        <v>89.5</v>
      </c>
      <c r="F91" s="239"/>
      <c r="G91" s="240"/>
    </row>
    <row r="92" spans="1:7" s="248" customFormat="1" ht="39" customHeight="1">
      <c r="A92" s="241" t="s">
        <v>675</v>
      </c>
      <c r="B92" s="327">
        <v>3267</v>
      </c>
      <c r="C92" s="247">
        <f>SUM(C93:C183)</f>
        <v>562</v>
      </c>
      <c r="D92" s="247">
        <f>SUM(D93:D183)</f>
        <v>0</v>
      </c>
      <c r="E92" s="247">
        <f>SUM(E93:E183)</f>
        <v>297.7</v>
      </c>
      <c r="F92" s="247">
        <f t="shared" si="1"/>
        <v>297.7</v>
      </c>
      <c r="G92" s="326" t="e">
        <f t="shared" si="2"/>
        <v>#DIV/0!</v>
      </c>
    </row>
    <row r="93" spans="1:7" s="248" customFormat="1" ht="49.5" customHeight="1">
      <c r="A93" s="245" t="str">
        <f>'Розшифровка кап'!A74</f>
        <v>придбання персональних комп'ютерів та оргтехніки(у 2019 році- комп'ютерів 27шт, принтерів18 шт.; у 2020 році- 22 комп'ютера, 25 принтерів)</v>
      </c>
      <c r="B93" s="246"/>
      <c r="C93" s="239">
        <f>'Розшифровка кап'!C74</f>
        <v>258.8</v>
      </c>
      <c r="D93" s="239">
        <f>'Розшифровка кап'!D74</f>
        <v>0</v>
      </c>
      <c r="E93" s="239">
        <f>'Розшифровка кап'!E74</f>
        <v>0</v>
      </c>
      <c r="F93" s="239"/>
      <c r="G93" s="240"/>
    </row>
    <row r="94" spans="1:7" s="248" customFormat="1" ht="21.75" customHeight="1">
      <c r="A94" s="245" t="str">
        <f>'Розшифровка кап'!A75</f>
        <v>жалюзі вертикальні (5 шт)</v>
      </c>
      <c r="B94" s="246"/>
      <c r="C94" s="239">
        <f>'Розшифровка кап'!C75</f>
        <v>6.6</v>
      </c>
      <c r="D94" s="239">
        <f>'Розшифровка кап'!D75</f>
        <v>0</v>
      </c>
      <c r="E94" s="239">
        <f>'Розшифровка кап'!E75</f>
        <v>0</v>
      </c>
      <c r="F94" s="239"/>
      <c r="G94" s="240"/>
    </row>
    <row r="95" spans="1:7" s="248" customFormat="1" ht="21.75" customHeight="1">
      <c r="A95" s="245" t="str">
        <f>'Розшифровка кап'!A76</f>
        <v>ролети тканеві (12 шт)</v>
      </c>
      <c r="B95" s="246"/>
      <c r="C95" s="239">
        <f>'Розшифровка кап'!C76</f>
        <v>4.4000000000000004</v>
      </c>
      <c r="D95" s="239">
        <f>'Розшифровка кап'!D76</f>
        <v>0</v>
      </c>
      <c r="E95" s="239">
        <f>'Розшифровка кап'!E76</f>
        <v>0</v>
      </c>
      <c r="F95" s="239"/>
      <c r="G95" s="240"/>
    </row>
    <row r="96" spans="1:7" s="248" customFormat="1" ht="21.75" customHeight="1">
      <c r="A96" s="245" t="str">
        <f>'Розшифровка кап'!A77</f>
        <v>візок для перевезення їжі</v>
      </c>
      <c r="B96" s="246"/>
      <c r="C96" s="239">
        <f>'Розшифровка кап'!C77</f>
        <v>4.2</v>
      </c>
      <c r="D96" s="239">
        <f>'Розшифровка кап'!D77</f>
        <v>0</v>
      </c>
      <c r="E96" s="239">
        <f>'Розшифровка кап'!E77</f>
        <v>0</v>
      </c>
      <c r="F96" s="239"/>
      <c r="G96" s="240"/>
    </row>
    <row r="97" spans="1:7" s="248" customFormat="1" ht="21.75" customHeight="1">
      <c r="A97" s="245" t="str">
        <f>'Розшифровка кап'!A78</f>
        <v>стілець (25 шт)</v>
      </c>
      <c r="B97" s="246"/>
      <c r="C97" s="239">
        <f>'Розшифровка кап'!C78</f>
        <v>12.4</v>
      </c>
      <c r="D97" s="239">
        <f>'Розшифровка кап'!D78</f>
        <v>0</v>
      </c>
      <c r="E97" s="239">
        <f>'Розшифровка кап'!E78</f>
        <v>0</v>
      </c>
      <c r="F97" s="239"/>
      <c r="G97" s="240"/>
    </row>
    <row r="98" spans="1:7" s="248" customFormat="1" ht="21.75" customHeight="1">
      <c r="A98" s="245" t="str">
        <f>'Розшифровка кап'!A79</f>
        <v>крісло</v>
      </c>
      <c r="B98" s="246"/>
      <c r="C98" s="239">
        <f>'Розшифровка кап'!C79</f>
        <v>2</v>
      </c>
      <c r="D98" s="239">
        <f>'Розшифровка кап'!D79</f>
        <v>0</v>
      </c>
      <c r="E98" s="239">
        <f>'Розшифровка кап'!E79</f>
        <v>0</v>
      </c>
      <c r="F98" s="239"/>
      <c r="G98" s="240"/>
    </row>
    <row r="99" spans="1:7" s="248" customFormat="1" ht="21.75" customHeight="1">
      <c r="A99" s="245" t="str">
        <f>'Розшифровка кап'!A80</f>
        <v>стіл з полицями та надбудовою (7 шт)</v>
      </c>
      <c r="B99" s="246"/>
      <c r="C99" s="239">
        <f>'Розшифровка кап'!C80</f>
        <v>37.299999999999997</v>
      </c>
      <c r="D99" s="239">
        <f>'Розшифровка кап'!D80</f>
        <v>0</v>
      </c>
      <c r="E99" s="239">
        <f>'Розшифровка кап'!E80</f>
        <v>0</v>
      </c>
      <c r="F99" s="239"/>
      <c r="G99" s="240"/>
    </row>
    <row r="100" spans="1:7" s="248" customFormat="1" ht="21.75" customHeight="1">
      <c r="A100" s="245" t="str">
        <f>'Розшифровка кап'!A81</f>
        <v>стіл з бортом пристінний (5 шт)</v>
      </c>
      <c r="B100" s="246"/>
      <c r="C100" s="239">
        <f>'Розшифровка кап'!C81</f>
        <v>7.7</v>
      </c>
      <c r="D100" s="239">
        <f>'Розшифровка кап'!D81</f>
        <v>0</v>
      </c>
      <c r="E100" s="239">
        <f>'Розшифровка кап'!E81</f>
        <v>0</v>
      </c>
      <c r="F100" s="239"/>
      <c r="G100" s="240"/>
    </row>
    <row r="101" spans="1:7" s="248" customFormat="1" ht="21.75" customHeight="1">
      <c r="A101" s="245" t="str">
        <f>'Розшифровка кап'!A82</f>
        <v>стіл</v>
      </c>
      <c r="B101" s="246"/>
      <c r="C101" s="239">
        <f>'Розшифровка кап'!C82</f>
        <v>1.1000000000000001</v>
      </c>
      <c r="D101" s="239">
        <f>'Розшифровка кап'!D82</f>
        <v>0</v>
      </c>
      <c r="E101" s="239">
        <f>'Розшифровка кап'!E82</f>
        <v>0</v>
      </c>
      <c r="F101" s="239"/>
      <c r="G101" s="240"/>
    </row>
    <row r="102" spans="1:7" s="248" customFormat="1" ht="36.75" customHeight="1">
      <c r="A102" s="245" t="str">
        <f>'Розшифровка кап'!A83</f>
        <v>посібник "Публічні закупівлі, практичні рішення та алгоритм проведення торгів"</v>
      </c>
      <c r="B102" s="246"/>
      <c r="C102" s="239">
        <f>'Розшифровка кап'!C83</f>
        <v>0.6</v>
      </c>
      <c r="D102" s="239">
        <f>'Розшифровка кап'!D83</f>
        <v>0</v>
      </c>
      <c r="E102" s="239">
        <f>'Розшифровка кап'!E83</f>
        <v>0</v>
      </c>
      <c r="F102" s="239"/>
      <c r="G102" s="240"/>
    </row>
    <row r="103" spans="1:7" s="248" customFormat="1" ht="21.75" customHeight="1">
      <c r="A103" s="245" t="str">
        <f>'Розшифровка кап'!A84</f>
        <v>лічильник ЛС механічний (2 шт)</v>
      </c>
      <c r="B103" s="246"/>
      <c r="C103" s="239">
        <f>'Розшифровка кап'!C84</f>
        <v>4.2</v>
      </c>
      <c r="D103" s="239">
        <f>'Розшифровка кап'!D84</f>
        <v>0</v>
      </c>
      <c r="E103" s="239">
        <f>'Розшифровка кап'!E84</f>
        <v>0</v>
      </c>
      <c r="F103" s="239"/>
      <c r="G103" s="240"/>
    </row>
    <row r="104" spans="1:7" s="248" customFormat="1" ht="21.75" customHeight="1">
      <c r="A104" s="245" t="str">
        <f>'Розшифровка кап'!A85</f>
        <v>ролети тканеві (33,78 м2)</v>
      </c>
      <c r="B104" s="246"/>
      <c r="C104" s="239">
        <f>'Розшифровка кап'!C85</f>
        <v>15.5</v>
      </c>
      <c r="D104" s="239">
        <f>'Розшифровка кап'!D85</f>
        <v>0</v>
      </c>
      <c r="E104" s="239">
        <f>'Розшифровка кап'!E85</f>
        <v>0</v>
      </c>
      <c r="F104" s="239"/>
      <c r="G104" s="240"/>
    </row>
    <row r="105" spans="1:7" s="248" customFormat="1" ht="21.75" customHeight="1">
      <c r="A105" s="245" t="str">
        <f>'Розшифровка кап'!A86</f>
        <v>принтери (2 шт)</v>
      </c>
      <c r="B105" s="246"/>
      <c r="C105" s="239">
        <f>'Розшифровка кап'!C86</f>
        <v>7.9</v>
      </c>
      <c r="D105" s="239">
        <f>'Розшифровка кап'!D86</f>
        <v>0</v>
      </c>
      <c r="E105" s="239">
        <f>'Розшифровка кап'!E86</f>
        <v>0</v>
      </c>
      <c r="F105" s="239"/>
      <c r="G105" s="240"/>
    </row>
    <row r="106" spans="1:7" s="248" customFormat="1" ht="21.75" customHeight="1">
      <c r="A106" s="245" t="str">
        <f>'Розшифровка кап'!A87</f>
        <v>мобільні телефони (3 шт)</v>
      </c>
      <c r="B106" s="246"/>
      <c r="C106" s="239">
        <f>'Розшифровка кап'!C87</f>
        <v>1.1000000000000001</v>
      </c>
      <c r="D106" s="239">
        <f>'Розшифровка кап'!D87</f>
        <v>0</v>
      </c>
      <c r="E106" s="239">
        <f>'Розшифровка кап'!E87</f>
        <v>0</v>
      </c>
      <c r="F106" s="239"/>
      <c r="G106" s="240"/>
    </row>
    <row r="107" spans="1:7" s="248" customFormat="1" ht="21.75" customHeight="1">
      <c r="A107" s="245" t="str">
        <f>'Розшифровка кап'!A88</f>
        <v>халати (20 шт)</v>
      </c>
      <c r="B107" s="246"/>
      <c r="C107" s="239">
        <f>'Розшифровка кап'!C88</f>
        <v>5</v>
      </c>
      <c r="D107" s="239">
        <f>'Розшифровка кап'!D88</f>
        <v>0</v>
      </c>
      <c r="E107" s="239">
        <f>'Розшифровка кап'!E88</f>
        <v>0</v>
      </c>
      <c r="F107" s="239"/>
      <c r="G107" s="240"/>
    </row>
    <row r="108" spans="1:7" s="248" customFormat="1" ht="21.75" customHeight="1">
      <c r="A108" s="245" t="str">
        <f>'Розшифровка кап'!A89</f>
        <v>комплекти постільної білизни (133 шт)</v>
      </c>
      <c r="B108" s="246"/>
      <c r="C108" s="239">
        <f>'Розшифровка кап'!C89</f>
        <v>49.9</v>
      </c>
      <c r="D108" s="239">
        <f>'Розшифровка кап'!D89</f>
        <v>0</v>
      </c>
      <c r="E108" s="239">
        <f>'Розшифровка кап'!E89</f>
        <v>0</v>
      </c>
      <c r="F108" s="239"/>
      <c r="G108" s="240"/>
    </row>
    <row r="109" spans="1:7" s="248" customFormat="1" ht="21.75" customHeight="1">
      <c r="A109" s="245" t="str">
        <f>'Розшифровка кап'!A90</f>
        <v>ролап конструкція</v>
      </c>
      <c r="B109" s="246"/>
      <c r="C109" s="239">
        <f>'Розшифровка кап'!C90</f>
        <v>1.4</v>
      </c>
      <c r="D109" s="239">
        <f>'Розшифровка кап'!D90</f>
        <v>0</v>
      </c>
      <c r="E109" s="239">
        <f>'Розшифровка кап'!E90</f>
        <v>0</v>
      </c>
      <c r="F109" s="239"/>
      <c r="G109" s="240"/>
    </row>
    <row r="110" spans="1:7" s="248" customFormat="1" ht="21.75" customHeight="1">
      <c r="A110" s="245" t="str">
        <f>'Розшифровка кап'!A91</f>
        <v>варочна поверхня</v>
      </c>
      <c r="B110" s="246"/>
      <c r="C110" s="239">
        <f>'Розшифровка кап'!C91</f>
        <v>2.4</v>
      </c>
      <c r="D110" s="239">
        <f>'Розшифровка кап'!D91</f>
        <v>0</v>
      </c>
      <c r="E110" s="239">
        <f>'Розшифровка кап'!E91</f>
        <v>0</v>
      </c>
      <c r="F110" s="239"/>
      <c r="G110" s="240"/>
    </row>
    <row r="111" spans="1:7" s="248" customFormat="1" ht="21.75" customHeight="1">
      <c r="A111" s="245" t="str">
        <f>'Розшифровка кап'!A92</f>
        <v>крісло-ліжко</v>
      </c>
      <c r="B111" s="246"/>
      <c r="C111" s="239">
        <f>'Розшифровка кап'!C92</f>
        <v>4.5</v>
      </c>
      <c r="D111" s="239">
        <f>'Розшифровка кап'!D92</f>
        <v>0</v>
      </c>
      <c r="E111" s="239">
        <f>'Розшифровка кап'!E92</f>
        <v>0</v>
      </c>
      <c r="F111" s="239"/>
      <c r="G111" s="240"/>
    </row>
    <row r="112" spans="1:7" s="248" customFormat="1" ht="21.75" customHeight="1">
      <c r="A112" s="245" t="str">
        <f>'Розшифровка кап'!A93</f>
        <v>набір навісних шаф</v>
      </c>
      <c r="B112" s="246"/>
      <c r="C112" s="239">
        <f>'Розшифровка кап'!C93</f>
        <v>5.2</v>
      </c>
      <c r="D112" s="239">
        <f>'Розшифровка кап'!D93</f>
        <v>0</v>
      </c>
      <c r="E112" s="239">
        <f>'Розшифровка кап'!E93</f>
        <v>0</v>
      </c>
      <c r="F112" s="239"/>
      <c r="G112" s="240"/>
    </row>
    <row r="113" spans="1:7" s="248" customFormat="1" ht="21.75" customHeight="1">
      <c r="A113" s="245" t="str">
        <f>'Розшифровка кап'!A94</f>
        <v>столик універсальний (3 шт)</v>
      </c>
      <c r="B113" s="246"/>
      <c r="C113" s="239">
        <f>'Розшифровка кап'!C94</f>
        <v>12</v>
      </c>
      <c r="D113" s="239">
        <f>'Розшифровка кап'!D94</f>
        <v>0</v>
      </c>
      <c r="E113" s="239">
        <f>'Розшифровка кап'!E94</f>
        <v>0</v>
      </c>
      <c r="F113" s="239"/>
      <c r="G113" s="240"/>
    </row>
    <row r="114" spans="1:7" s="248" customFormat="1" ht="21.75" customHeight="1">
      <c r="A114" s="245" t="str">
        <f>'Розшифровка кап'!A95</f>
        <v>столик</v>
      </c>
      <c r="B114" s="246"/>
      <c r="C114" s="239">
        <f>'Розшифровка кап'!C95</f>
        <v>2.9</v>
      </c>
      <c r="D114" s="239">
        <f>'Розшифровка кап'!D95</f>
        <v>0</v>
      </c>
      <c r="E114" s="239">
        <f>'Розшифровка кап'!E95</f>
        <v>0</v>
      </c>
      <c r="F114" s="239"/>
      <c r="G114" s="240"/>
    </row>
    <row r="115" spans="1:7" s="248" customFormat="1" ht="21.75" customHeight="1">
      <c r="A115" s="245" t="str">
        <f>'Розшифровка кап'!A96</f>
        <v xml:space="preserve">крісло розкладне </v>
      </c>
      <c r="B115" s="246"/>
      <c r="C115" s="239">
        <f>'Розшифровка кап'!C96</f>
        <v>4.2</v>
      </c>
      <c r="D115" s="239">
        <f>'Розшифровка кап'!D96</f>
        <v>0</v>
      </c>
      <c r="E115" s="239">
        <f>'Розшифровка кап'!E96</f>
        <v>0</v>
      </c>
      <c r="F115" s="239"/>
      <c r="G115" s="240"/>
    </row>
    <row r="116" spans="1:7" s="248" customFormat="1" ht="21.75" customHeight="1">
      <c r="A116" s="245" t="str">
        <f>'Розшифровка кап'!A97</f>
        <v>штатив ШТ-1</v>
      </c>
      <c r="B116" s="246"/>
      <c r="C116" s="239">
        <f>'Розшифровка кап'!C97</f>
        <v>0.5</v>
      </c>
      <c r="D116" s="239">
        <f>'Розшифровка кап'!D97</f>
        <v>0</v>
      </c>
      <c r="E116" s="239">
        <f>'Розшифровка кап'!E97</f>
        <v>0</v>
      </c>
      <c r="F116" s="239"/>
      <c r="G116" s="240"/>
    </row>
    <row r="117" spans="1:7" s="248" customFormat="1" ht="21.75" customHeight="1">
      <c r="A117" s="245" t="str">
        <f>'Розшифровка кап'!A98</f>
        <v>опромінювач бактерицидний ОБН-75МЕ (23 шт)</v>
      </c>
      <c r="B117" s="246"/>
      <c r="C117" s="239">
        <f>'Розшифровка кап'!C98</f>
        <v>24.6</v>
      </c>
      <c r="D117" s="239">
        <f>'Розшифровка кап'!D98</f>
        <v>0</v>
      </c>
      <c r="E117" s="239">
        <f>'Розшифровка кап'!E98</f>
        <v>0</v>
      </c>
      <c r="F117" s="239"/>
      <c r="G117" s="240"/>
    </row>
    <row r="118" spans="1:7" s="248" customFormat="1" ht="21.75" customHeight="1">
      <c r="A118" s="245" t="str">
        <f>'Розшифровка кап'!A99</f>
        <v>стійка для приладів СТП-1 (5 шт)</v>
      </c>
      <c r="B118" s="246"/>
      <c r="C118" s="239">
        <f>'Розшифровка кап'!C99</f>
        <v>18.399999999999999</v>
      </c>
      <c r="D118" s="239">
        <f>'Розшифровка кап'!D99</f>
        <v>0</v>
      </c>
      <c r="E118" s="239">
        <f>'Розшифровка кап'!E99</f>
        <v>0</v>
      </c>
      <c r="F118" s="239"/>
      <c r="G118" s="240"/>
    </row>
    <row r="119" spans="1:7" s="248" customFormat="1" ht="21.75" customHeight="1">
      <c r="A119" s="245" t="str">
        <f>'Розшифровка кап'!A100</f>
        <v xml:space="preserve">контейнер для ТПВ з кришкою </v>
      </c>
      <c r="B119" s="246"/>
      <c r="C119" s="239">
        <f>'Розшифровка кап'!C100</f>
        <v>4.5</v>
      </c>
      <c r="D119" s="239">
        <f>'Розшифровка кап'!D100</f>
        <v>0</v>
      </c>
      <c r="E119" s="239">
        <f>'Розшифровка кап'!E100</f>
        <v>0</v>
      </c>
      <c r="F119" s="239"/>
      <c r="G119" s="240"/>
    </row>
    <row r="120" spans="1:7" s="248" customFormat="1" ht="21.75" customHeight="1">
      <c r="A120" s="245" t="str">
        <f>'Розшифровка кап'!A101</f>
        <v>холодильник Grunhelm GRW-138DD</v>
      </c>
      <c r="B120" s="246"/>
      <c r="C120" s="239">
        <f>'Розшифровка кап'!C101</f>
        <v>4.3</v>
      </c>
      <c r="D120" s="239">
        <f>'Розшифровка кап'!D101</f>
        <v>0</v>
      </c>
      <c r="E120" s="239">
        <f>'Розшифровка кап'!E101</f>
        <v>0</v>
      </c>
      <c r="F120" s="239"/>
      <c r="G120" s="240"/>
    </row>
    <row r="121" spans="1:7" s="248" customFormat="1" ht="21.75" customHeight="1">
      <c r="A121" s="245" t="str">
        <f>'Розшифровка кап'!A102</f>
        <v>столик для приладів СП-1 (2 шт)</v>
      </c>
      <c r="B121" s="246"/>
      <c r="C121" s="239">
        <f>'Розшифровка кап'!C102</f>
        <v>3.4</v>
      </c>
      <c r="D121" s="239">
        <f>'Розшифровка кап'!D102</f>
        <v>0</v>
      </c>
      <c r="E121" s="239">
        <f>'Розшифровка кап'!E102</f>
        <v>0</v>
      </c>
      <c r="F121" s="239"/>
      <c r="G121" s="240"/>
    </row>
    <row r="122" spans="1:7" s="248" customFormat="1" ht="21.75" customHeight="1">
      <c r="A122" s="245" t="str">
        <f>'Розшифровка кап'!A103</f>
        <v>столик сповивальний ССп-2</v>
      </c>
      <c r="B122" s="246"/>
      <c r="C122" s="239">
        <f>'Розшифровка кап'!C103</f>
        <v>4.5999999999999996</v>
      </c>
      <c r="D122" s="239">
        <f>'Розшифровка кап'!D103</f>
        <v>0</v>
      </c>
      <c r="E122" s="239">
        <f>'Розшифровка кап'!E103</f>
        <v>0</v>
      </c>
      <c r="F122" s="239"/>
      <c r="G122" s="240"/>
    </row>
    <row r="123" spans="1:7" s="248" customFormat="1" ht="21.75" customHeight="1">
      <c r="A123" s="245" t="str">
        <f>'Розшифровка кап'!A104</f>
        <v>столик маніпуляційний СМ-2 (2 шт)</v>
      </c>
      <c r="B123" s="246"/>
      <c r="C123" s="239">
        <f>'Розшифровка кап'!C104</f>
        <v>8.6999999999999993</v>
      </c>
      <c r="D123" s="239">
        <f>'Розшифровка кап'!D104</f>
        <v>0</v>
      </c>
      <c r="E123" s="239">
        <f>'Розшифровка кап'!E104</f>
        <v>0</v>
      </c>
      <c r="F123" s="239"/>
      <c r="G123" s="240"/>
    </row>
    <row r="124" spans="1:7" s="248" customFormat="1" ht="21.75" customHeight="1">
      <c r="A124" s="245" t="str">
        <f>'Розшифровка кап'!A105</f>
        <v>стійка для шприцевих дозаторів СТШ-1 (5шт)</v>
      </c>
      <c r="B124" s="246"/>
      <c r="C124" s="239">
        <f>'Розшифровка кап'!C105</f>
        <v>13.2</v>
      </c>
      <c r="D124" s="239">
        <f>'Розшифровка кап'!D105</f>
        <v>0</v>
      </c>
      <c r="E124" s="239">
        <f>'Розшифровка кап'!E105</f>
        <v>0</v>
      </c>
      <c r="F124" s="239"/>
      <c r="G124" s="240"/>
    </row>
    <row r="125" spans="1:7" s="248" customFormat="1" ht="21.75" customHeight="1">
      <c r="A125" s="245" t="str">
        <f>'Розшифровка кап'!A106</f>
        <v>столик маніпуляційний , столешниця з нержавіючої сталі СМ-4К</v>
      </c>
      <c r="B125" s="246"/>
      <c r="C125" s="239">
        <f>'Розшифровка кап'!C106</f>
        <v>5.7</v>
      </c>
      <c r="D125" s="239">
        <f>'Розшифровка кап'!D106</f>
        <v>0</v>
      </c>
      <c r="E125" s="239">
        <f>'Розшифровка кап'!E106</f>
        <v>0</v>
      </c>
      <c r="F125" s="239"/>
      <c r="G125" s="240"/>
    </row>
    <row r="126" spans="1:7" s="248" customFormat="1" ht="21.75" customHeight="1">
      <c r="A126" s="245" t="str">
        <f>'Розшифровка кап'!A107</f>
        <v>столик для приладів СП-3</v>
      </c>
      <c r="B126" s="246"/>
      <c r="C126" s="239">
        <f>'Розшифровка кап'!C107</f>
        <v>4.8</v>
      </c>
      <c r="D126" s="239">
        <f>'Розшифровка кап'!D107</f>
        <v>0</v>
      </c>
      <c r="E126" s="239">
        <f>'Розшифровка кап'!E107</f>
        <v>0</v>
      </c>
      <c r="F126" s="239"/>
      <c r="G126" s="240"/>
    </row>
    <row r="127" spans="1:7" s="248" customFormat="1" ht="21.75" customHeight="1">
      <c r="A127" s="245" t="str">
        <f>'Розшифровка кап'!A108</f>
        <v>шафа медична з бактерицидними лампами ШМБ-8 (3 шт)</v>
      </c>
      <c r="B127" s="246"/>
      <c r="C127" s="239">
        <f>'Розшифровка кап'!C108</f>
        <v>18</v>
      </c>
      <c r="D127" s="239">
        <f>'Розшифровка кап'!D108</f>
        <v>0</v>
      </c>
      <c r="E127" s="239">
        <f>'Розшифровка кап'!E108</f>
        <v>0</v>
      </c>
      <c r="F127" s="239"/>
      <c r="G127" s="240"/>
    </row>
    <row r="128" spans="1:7" ht="21" customHeight="1">
      <c r="A128" s="245" t="str">
        <f>'Розшифровка кап'!A147</f>
        <v xml:space="preserve">дозатор механічний одноканальний Proline 20-200 мкл.       </v>
      </c>
      <c r="B128" s="242"/>
      <c r="C128" s="239">
        <f>'Розшифровка кап'!C147</f>
        <v>0</v>
      </c>
      <c r="D128" s="239">
        <f>'Розшифровка кап'!D147</f>
        <v>0</v>
      </c>
      <c r="E128" s="239">
        <f>'Розшифровка кап'!E147</f>
        <v>5.8</v>
      </c>
      <c r="F128" s="239"/>
      <c r="G128" s="240"/>
    </row>
    <row r="129" spans="1:7" ht="21" customHeight="1">
      <c r="A129" s="245" t="str">
        <f>'Розшифровка кап'!A148</f>
        <v>вентилятор побутовий 100С1, 94м3/год Домовент (2шт)</v>
      </c>
      <c r="B129" s="242"/>
      <c r="C129" s="239">
        <f>'Розшифровка кап'!C148</f>
        <v>0</v>
      </c>
      <c r="D129" s="239">
        <f>'Розшифровка кап'!D148</f>
        <v>0</v>
      </c>
      <c r="E129" s="239">
        <f>'Розшифровка кап'!E148</f>
        <v>0.5</v>
      </c>
      <c r="F129" s="239"/>
      <c r="G129" s="240"/>
    </row>
    <row r="130" spans="1:7" ht="21" customHeight="1">
      <c r="A130" s="245" t="str">
        <f>'Розшифровка кап'!A149</f>
        <v xml:space="preserve">комплект: тумба з умивальником, дзеркало  </v>
      </c>
      <c r="B130" s="242"/>
      <c r="C130" s="239">
        <f>'Розшифровка кап'!C149</f>
        <v>0</v>
      </c>
      <c r="D130" s="239">
        <f>'Розшифровка кап'!D149</f>
        <v>0</v>
      </c>
      <c r="E130" s="239">
        <f>'Розшифровка кап'!E149</f>
        <v>5.2</v>
      </c>
      <c r="F130" s="239"/>
      <c r="G130" s="240"/>
    </row>
    <row r="131" spans="1:7" ht="33" customHeight="1">
      <c r="A131" s="245" t="str">
        <f>'Розшифровка кап'!A150</f>
        <v xml:space="preserve">гігрометр ВІТ-Ш-2(+16+40С)ТУ З України 14307481.001-92 УКТЗЕД 9025808010 (5 шт)                                                                                                                                </v>
      </c>
      <c r="B131" s="242"/>
      <c r="C131" s="239">
        <f>'Розшифровка кап'!C150</f>
        <v>0</v>
      </c>
      <c r="D131" s="239">
        <f>'Розшифровка кап'!D150</f>
        <v>0</v>
      </c>
      <c r="E131" s="239">
        <f>'Розшифровка кап'!E150</f>
        <v>0.7</v>
      </c>
      <c r="F131" s="239"/>
      <c r="G131" s="240"/>
    </row>
    <row r="132" spans="1:7" ht="21" customHeight="1">
      <c r="A132" s="245" t="str">
        <f>'Розшифровка кап'!A151</f>
        <v xml:space="preserve">стіл зі стільниці                                                                                                                                                                                       </v>
      </c>
      <c r="B132" s="242"/>
      <c r="C132" s="239">
        <f>'Розшифровка кап'!C151</f>
        <v>0</v>
      </c>
      <c r="D132" s="239">
        <f>'Розшифровка кап'!D151</f>
        <v>0</v>
      </c>
      <c r="E132" s="239">
        <f>'Розшифровка кап'!E151</f>
        <v>5</v>
      </c>
      <c r="F132" s="239"/>
      <c r="G132" s="240"/>
    </row>
    <row r="133" spans="1:7" ht="21" customHeight="1">
      <c r="A133" s="245" t="str">
        <f>'Розшифровка кап'!A152</f>
        <v>ліжко 0,9*2,0 з каркасом металевий з ніжками (6 шт)</v>
      </c>
      <c r="B133" s="242"/>
      <c r="C133" s="239">
        <f>'Розшифровка кап'!C152</f>
        <v>0</v>
      </c>
      <c r="D133" s="239">
        <f>'Розшифровка кап'!D152</f>
        <v>0</v>
      </c>
      <c r="E133" s="239">
        <f>'Розшифровка кап'!E152</f>
        <v>25.2</v>
      </c>
      <c r="F133" s="239"/>
      <c r="G133" s="240"/>
    </row>
    <row r="134" spans="1:7" ht="21" customHeight="1">
      <c r="A134" s="245" t="str">
        <f>'Розшифровка кап'!A153</f>
        <v>матрац пружиний 0,9*2,0   (6 шт)</v>
      </c>
      <c r="B134" s="242"/>
      <c r="C134" s="239">
        <f>'Розшифровка кап'!C153</f>
        <v>0</v>
      </c>
      <c r="D134" s="239">
        <f>'Розшифровка кап'!D153</f>
        <v>0</v>
      </c>
      <c r="E134" s="239">
        <f>'Розшифровка кап'!E153</f>
        <v>16.8</v>
      </c>
      <c r="F134" s="239"/>
      <c r="G134" s="240"/>
    </row>
    <row r="135" spans="1:7" ht="21" customHeight="1">
      <c r="A135" s="245" t="str">
        <f>'Розшифровка кап'!A154</f>
        <v xml:space="preserve">мийка 0,57*0,445   </v>
      </c>
      <c r="B135" s="242"/>
      <c r="C135" s="239">
        <f>'Розшифровка кап'!C154</f>
        <v>0</v>
      </c>
      <c r="D135" s="239">
        <f>'Розшифровка кап'!D154</f>
        <v>0</v>
      </c>
      <c r="E135" s="239">
        <f>'Розшифровка кап'!E154</f>
        <v>1.3</v>
      </c>
      <c r="F135" s="239"/>
      <c r="G135" s="240"/>
    </row>
    <row r="136" spans="1:7" ht="21" customHeight="1">
      <c r="A136" s="245" t="str">
        <f>'Розшифровка кап'!A155</f>
        <v xml:space="preserve">стелаж трирівневий 1500*1000 з н/ж сталі       </v>
      </c>
      <c r="B136" s="242"/>
      <c r="C136" s="239">
        <f>'Розшифровка кап'!C155</f>
        <v>0</v>
      </c>
      <c r="D136" s="239">
        <f>'Розшифровка кап'!D155</f>
        <v>0</v>
      </c>
      <c r="E136" s="239">
        <f>'Розшифровка кап'!E155</f>
        <v>4.9000000000000004</v>
      </c>
      <c r="F136" s="239"/>
      <c r="G136" s="240"/>
    </row>
    <row r="137" spans="1:7" ht="21" customHeight="1">
      <c r="A137" s="245" t="str">
        <f>'Розшифровка кап'!A156</f>
        <v xml:space="preserve">блендер BPAUN MQ5237BK  </v>
      </c>
      <c r="B137" s="242"/>
      <c r="C137" s="239">
        <f>'Розшифровка кап'!C156</f>
        <v>0</v>
      </c>
      <c r="D137" s="239">
        <f>'Розшифровка кап'!D156</f>
        <v>0</v>
      </c>
      <c r="E137" s="239">
        <f>'Розшифровка кап'!E156</f>
        <v>2.2999999999999998</v>
      </c>
      <c r="F137" s="239"/>
      <c r="G137" s="240"/>
    </row>
    <row r="138" spans="1:7" ht="21" customHeight="1">
      <c r="A138" s="245" t="str">
        <f>'Розшифровка кап'!A157</f>
        <v xml:space="preserve">електрочайник Grunhelm                               </v>
      </c>
      <c r="B138" s="242"/>
      <c r="C138" s="239">
        <f>'Розшифровка кап'!C157</f>
        <v>0</v>
      </c>
      <c r="D138" s="239">
        <f>'Розшифровка кап'!D157</f>
        <v>0</v>
      </c>
      <c r="E138" s="239">
        <f>'Розшифровка кап'!E157</f>
        <v>0.4</v>
      </c>
      <c r="F138" s="239"/>
      <c r="G138" s="240"/>
    </row>
    <row r="139" spans="1:7" ht="21.75" customHeight="1">
      <c r="A139" s="245" t="str">
        <f>'Розшифровка кап'!A158</f>
        <v xml:space="preserve">пульт електронний для керування блоком тенів 7500Вт 3*400 в  </v>
      </c>
      <c r="B139" s="242"/>
      <c r="C139" s="239">
        <f>'Розшифровка кап'!C158</f>
        <v>0</v>
      </c>
      <c r="D139" s="239">
        <f>'Розшифровка кап'!D158</f>
        <v>0</v>
      </c>
      <c r="E139" s="239">
        <f>'Розшифровка кап'!E158</f>
        <v>4.8</v>
      </c>
      <c r="F139" s="239"/>
      <c r="G139" s="240"/>
    </row>
    <row r="140" spans="1:7" ht="21" customHeight="1">
      <c r="A140" s="245" t="str">
        <f>'Розшифровка кап'!A159</f>
        <v xml:space="preserve">тканеві ролети беста-міні (10 шт)    </v>
      </c>
      <c r="B140" s="242"/>
      <c r="C140" s="239">
        <f>'Розшифровка кап'!C159</f>
        <v>0</v>
      </c>
      <c r="D140" s="239">
        <f>'Розшифровка кап'!D159</f>
        <v>0</v>
      </c>
      <c r="E140" s="239">
        <f>'Розшифровка кап'!E159</f>
        <v>6.2</v>
      </c>
      <c r="F140" s="239"/>
      <c r="G140" s="240"/>
    </row>
    <row r="141" spans="1:7" ht="21" customHeight="1">
      <c r="A141" s="245" t="str">
        <f>'Розшифровка кап'!A160</f>
        <v xml:space="preserve">вертикальні жалюзі                                                                                                                                                                                      </v>
      </c>
      <c r="B141" s="242"/>
      <c r="C141" s="239">
        <f>'Розшифровка кап'!C160</f>
        <v>0</v>
      </c>
      <c r="D141" s="239">
        <f>'Розшифровка кап'!D160</f>
        <v>0</v>
      </c>
      <c r="E141" s="239">
        <f>'Розшифровка кап'!E160</f>
        <v>1.5</v>
      </c>
      <c r="F141" s="239"/>
      <c r="G141" s="240"/>
    </row>
    <row r="142" spans="1:7" ht="21" customHeight="1">
      <c r="A142" s="245" t="str">
        <f>'Розшифровка кап'!A161</f>
        <v>інформаційний стенд (6 шт)</v>
      </c>
      <c r="B142" s="242"/>
      <c r="C142" s="239">
        <f>'Розшифровка кап'!C161</f>
        <v>0</v>
      </c>
      <c r="D142" s="239">
        <f>'Розшифровка кап'!D161</f>
        <v>0</v>
      </c>
      <c r="E142" s="239">
        <f>'Розшифровка кап'!E161</f>
        <v>9.9</v>
      </c>
      <c r="F142" s="239"/>
      <c r="G142" s="240"/>
    </row>
    <row r="143" spans="1:7" ht="21" customHeight="1">
      <c r="A143" s="245" t="str">
        <f>'Розшифровка кап'!A162</f>
        <v xml:space="preserve">принтер А4 Epson 1-Series </v>
      </c>
      <c r="B143" s="242"/>
      <c r="C143" s="239">
        <f>'Розшифровка кап'!C162</f>
        <v>0</v>
      </c>
      <c r="D143" s="239">
        <f>'Розшифровка кап'!D162</f>
        <v>0</v>
      </c>
      <c r="E143" s="239">
        <f>'Розшифровка кап'!E162</f>
        <v>4.5</v>
      </c>
      <c r="F143" s="239"/>
      <c r="G143" s="240"/>
    </row>
    <row r="144" spans="1:7" ht="21" customHeight="1">
      <c r="A144" s="245" t="str">
        <f>'Розшифровка кап'!A163</f>
        <v xml:space="preserve">детектор індивідуального моніторингу ДТГ-4 (ДТУ)  </v>
      </c>
      <c r="B144" s="242"/>
      <c r="C144" s="239">
        <f>'Розшифровка кап'!C163</f>
        <v>0</v>
      </c>
      <c r="D144" s="239">
        <f>'Розшифровка кап'!D163</f>
        <v>0</v>
      </c>
      <c r="E144" s="239">
        <f>'Розшифровка кап'!E163</f>
        <v>3.1</v>
      </c>
      <c r="F144" s="239"/>
      <c r="G144" s="240"/>
    </row>
    <row r="145" spans="1:7" ht="21" customHeight="1">
      <c r="A145" s="245" t="str">
        <f>'Розшифровка кап'!A164</f>
        <v xml:space="preserve">вогнегасник ВП-5  (4 шт)        </v>
      </c>
      <c r="B145" s="242"/>
      <c r="C145" s="239">
        <f>'Розшифровка кап'!C164</f>
        <v>0</v>
      </c>
      <c r="D145" s="239">
        <f>'Розшифровка кап'!D164</f>
        <v>0</v>
      </c>
      <c r="E145" s="239">
        <f>'Розшифровка кап'!E164</f>
        <v>1.6</v>
      </c>
      <c r="F145" s="239"/>
      <c r="G145" s="240"/>
    </row>
    <row r="146" spans="1:7" ht="21" customHeight="1">
      <c r="A146" s="245" t="str">
        <f>'Розшифровка кап'!A165</f>
        <v xml:space="preserve">пральна машина Indesit IWUC 40851    </v>
      </c>
      <c r="B146" s="242"/>
      <c r="C146" s="239">
        <f>'Розшифровка кап'!C165</f>
        <v>0</v>
      </c>
      <c r="D146" s="239">
        <f>'Розшифровка кап'!D165</f>
        <v>0</v>
      </c>
      <c r="E146" s="239">
        <f>'Розшифровка кап'!E165</f>
        <v>4.8</v>
      </c>
      <c r="F146" s="239"/>
      <c r="G146" s="240"/>
    </row>
    <row r="147" spans="1:7" ht="21" customHeight="1">
      <c r="A147" s="245" t="str">
        <f>'Розшифровка кап'!A166</f>
        <v xml:space="preserve">бактерицидна лампа Bactosfera OBB 15                  </v>
      </c>
      <c r="B147" s="242"/>
      <c r="C147" s="239">
        <f>'Розшифровка кап'!C166</f>
        <v>0</v>
      </c>
      <c r="D147" s="239">
        <f>'Розшифровка кап'!D166</f>
        <v>0</v>
      </c>
      <c r="E147" s="239">
        <f>'Розшифровка кап'!E166</f>
        <v>0.8</v>
      </c>
      <c r="F147" s="239"/>
      <c r="G147" s="240"/>
    </row>
    <row r="148" spans="1:7" ht="21" customHeight="1">
      <c r="A148" s="245" t="str">
        <f>'Розшифровка кап'!A167</f>
        <v xml:space="preserve">компресорний небулайзер     </v>
      </c>
      <c r="B148" s="242"/>
      <c r="C148" s="239">
        <f>'Розшифровка кап'!C167</f>
        <v>0</v>
      </c>
      <c r="D148" s="239">
        <f>'Розшифровка кап'!D167</f>
        <v>0</v>
      </c>
      <c r="E148" s="239">
        <f>'Розшифровка кап'!E167</f>
        <v>1.2</v>
      </c>
      <c r="F148" s="239"/>
      <c r="G148" s="240"/>
    </row>
    <row r="149" spans="1:7" ht="21" customHeight="1">
      <c r="A149" s="245" t="str">
        <f>'Розшифровка кап'!A168</f>
        <v>тонометр педіатричний з трьома манжетами Little Doctor LD 80</v>
      </c>
      <c r="B149" s="242"/>
      <c r="C149" s="239">
        <f>'Розшифровка кап'!C168</f>
        <v>0</v>
      </c>
      <c r="D149" s="239">
        <f>'Розшифровка кап'!D168</f>
        <v>0</v>
      </c>
      <c r="E149" s="239">
        <f>'Розшифровка кап'!E168</f>
        <v>0.6</v>
      </c>
      <c r="F149" s="239"/>
      <c r="G149" s="240"/>
    </row>
    <row r="150" spans="1:7" ht="21" customHeight="1">
      <c r="A150" s="245" t="str">
        <f>'Розшифровка кап'!A169</f>
        <v xml:space="preserve">ваги електронні для новонароджених Momert 6475        </v>
      </c>
      <c r="B150" s="242"/>
      <c r="C150" s="239">
        <f>'Розшифровка кап'!C169</f>
        <v>0</v>
      </c>
      <c r="D150" s="239">
        <f>'Розшифровка кап'!D169</f>
        <v>0</v>
      </c>
      <c r="E150" s="239">
        <f>'Розшифровка кап'!E169</f>
        <v>1.6</v>
      </c>
      <c r="F150" s="239"/>
      <c r="G150" s="240"/>
    </row>
    <row r="151" spans="1:7" ht="21" customHeight="1">
      <c r="A151" s="245" t="str">
        <f>'Розшифровка кап'!A170</f>
        <v>відбійник</v>
      </c>
      <c r="B151" s="242"/>
      <c r="C151" s="239">
        <f>'Розшифровка кап'!C170</f>
        <v>0</v>
      </c>
      <c r="D151" s="239">
        <f>'Розшифровка кап'!D170</f>
        <v>0</v>
      </c>
      <c r="E151" s="239">
        <f>'Розшифровка кап'!E170</f>
        <v>5.7</v>
      </c>
      <c r="F151" s="239"/>
      <c r="G151" s="240"/>
    </row>
    <row r="152" spans="1:7" ht="21" customHeight="1">
      <c r="A152" s="245" t="str">
        <f>'Розшифровка кап'!A171</f>
        <v>пральна машина Indesit E2SC 2160 W UA</v>
      </c>
      <c r="B152" s="242"/>
      <c r="C152" s="239">
        <f>'Розшифровка кап'!C171</f>
        <v>0</v>
      </c>
      <c r="D152" s="239">
        <f>'Розшифровка кап'!D171</f>
        <v>0</v>
      </c>
      <c r="E152" s="239">
        <f>'Розшифровка кап'!E171</f>
        <v>5.5</v>
      </c>
      <c r="F152" s="239"/>
      <c r="G152" s="240"/>
    </row>
    <row r="153" spans="1:7" ht="21" customHeight="1">
      <c r="A153" s="245" t="str">
        <f>'Розшифровка кап'!A172</f>
        <v xml:space="preserve">ліжко лікарняне б/в           </v>
      </c>
      <c r="B153" s="242"/>
      <c r="C153" s="239">
        <f>'Розшифровка кап'!C172</f>
        <v>0</v>
      </c>
      <c r="D153" s="239">
        <f>'Розшифровка кап'!D172</f>
        <v>0</v>
      </c>
      <c r="E153" s="239">
        <f>'Розшифровка кап'!E172</f>
        <v>24.5</v>
      </c>
      <c r="F153" s="239"/>
      <c r="G153" s="240"/>
    </row>
    <row r="154" spans="1:7" ht="21" customHeight="1">
      <c r="A154" s="245" t="str">
        <f>'Розшифровка кап'!A173</f>
        <v xml:space="preserve">матрац Ех-2 0,8*1,9                           </v>
      </c>
      <c r="B154" s="242"/>
      <c r="C154" s="239">
        <f>'Розшифровка кап'!C173</f>
        <v>0</v>
      </c>
      <c r="D154" s="239">
        <f>'Розшифровка кап'!D173</f>
        <v>0</v>
      </c>
      <c r="E154" s="239">
        <f>'Розшифровка кап'!E173</f>
        <v>2.2999999999999998</v>
      </c>
      <c r="F154" s="239"/>
      <c r="G154" s="240"/>
    </row>
    <row r="155" spans="1:7" ht="21" customHeight="1">
      <c r="A155" s="245" t="str">
        <f>'Розшифровка кап'!A174</f>
        <v xml:space="preserve">електрочайник Philips 1,5л 240 Вт </v>
      </c>
      <c r="B155" s="242"/>
      <c r="C155" s="239">
        <f>'Розшифровка кап'!C174</f>
        <v>0</v>
      </c>
      <c r="D155" s="239">
        <f>'Розшифровка кап'!D174</f>
        <v>0</v>
      </c>
      <c r="E155" s="239">
        <f>'Розшифровка кап'!E174</f>
        <v>0.7</v>
      </c>
      <c r="F155" s="239"/>
      <c r="G155" s="240"/>
    </row>
    <row r="156" spans="1:7" ht="21" customHeight="1">
      <c r="A156" s="245" t="str">
        <f>'Розшифровка кап'!A175</f>
        <v xml:space="preserve">електрочайник Holmer HKS (Скло) </v>
      </c>
      <c r="B156" s="242"/>
      <c r="C156" s="239">
        <f>'Розшифровка кап'!C175</f>
        <v>0</v>
      </c>
      <c r="D156" s="239">
        <f>'Розшифровка кап'!D175</f>
        <v>0</v>
      </c>
      <c r="E156" s="239">
        <f>'Розшифровка кап'!E175</f>
        <v>0.4</v>
      </c>
      <c r="F156" s="239"/>
      <c r="G156" s="240"/>
    </row>
    <row r="157" spans="1:7" ht="21" customHeight="1">
      <c r="A157" s="245" t="str">
        <f>'Розшифровка кап'!A176</f>
        <v xml:space="preserve">електричний чайник Grunhelm (35 шт)   </v>
      </c>
      <c r="B157" s="242"/>
      <c r="C157" s="239">
        <f>'Розшифровка кап'!C176</f>
        <v>0</v>
      </c>
      <c r="D157" s="239">
        <f>'Розшифровка кап'!D176</f>
        <v>0</v>
      </c>
      <c r="E157" s="239">
        <f>'Розшифровка кап'!E176</f>
        <v>17.899999999999999</v>
      </c>
      <c r="F157" s="239"/>
      <c r="G157" s="240"/>
    </row>
    <row r="158" spans="1:7" ht="21" customHeight="1">
      <c r="A158" s="245" t="str">
        <f>'Розшифровка кап'!A177</f>
        <v>мікрохвильова піч Delfa AMW-20MB (5 шт)</v>
      </c>
      <c r="B158" s="242"/>
      <c r="C158" s="239">
        <f>'Розшифровка кап'!C177</f>
        <v>0</v>
      </c>
      <c r="D158" s="239">
        <f>'Розшифровка кап'!D177</f>
        <v>0</v>
      </c>
      <c r="E158" s="239">
        <f>'Розшифровка кап'!E177</f>
        <v>7.4</v>
      </c>
      <c r="F158" s="239"/>
      <c r="G158" s="240"/>
    </row>
    <row r="159" spans="1:7" ht="21" customHeight="1">
      <c r="A159" s="245" t="str">
        <f>'Розшифровка кап'!A178</f>
        <v xml:space="preserve">Мікрохвильова піч Gorenje MO20E1B    </v>
      </c>
      <c r="B159" s="242"/>
      <c r="C159" s="239">
        <f>'Розшифровка кап'!C178</f>
        <v>0</v>
      </c>
      <c r="D159" s="239">
        <f>'Розшифровка кап'!D178</f>
        <v>0</v>
      </c>
      <c r="E159" s="239">
        <f>'Розшифровка кап'!E178</f>
        <v>1.6</v>
      </c>
      <c r="F159" s="239"/>
      <c r="G159" s="240"/>
    </row>
    <row r="160" spans="1:7" ht="21" customHeight="1">
      <c r="A160" s="245" t="str">
        <f>'Розшифровка кап'!A179</f>
        <v xml:space="preserve">холодильник Delfa (white 89*49.5*46.5 см) (3 шт)   </v>
      </c>
      <c r="B160" s="242"/>
      <c r="C160" s="239">
        <f>'Розшифровка кап'!C179</f>
        <v>0</v>
      </c>
      <c r="D160" s="239">
        <f>'Розшифровка кап'!D179</f>
        <v>0</v>
      </c>
      <c r="E160" s="239">
        <f>'Розшифровка кап'!E179</f>
        <v>10.7</v>
      </c>
      <c r="F160" s="239"/>
      <c r="G160" s="240"/>
    </row>
    <row r="161" spans="1:7" ht="21" customHeight="1">
      <c r="A161" s="245" t="str">
        <f>'Розшифровка кап'!A180</f>
        <v>стілець Аскона (чорний)  (20 шт)</v>
      </c>
      <c r="B161" s="242"/>
      <c r="C161" s="239">
        <f>'Розшифровка кап'!C180</f>
        <v>0</v>
      </c>
      <c r="D161" s="239">
        <f>'Розшифровка кап'!D180</f>
        <v>0</v>
      </c>
      <c r="E161" s="239">
        <f>'Розшифровка кап'!E180</f>
        <v>11.600000000000001</v>
      </c>
      <c r="F161" s="239"/>
      <c r="G161" s="240"/>
    </row>
    <row r="162" spans="1:7" ht="21" customHeight="1">
      <c r="A162" s="245" t="str">
        <f>'Розшифровка кап'!A181</f>
        <v xml:space="preserve">тумба приліжкова 0,6*0,5*0,6    (4шт)                               </v>
      </c>
      <c r="B162" s="242"/>
      <c r="C162" s="239">
        <f>'Розшифровка кап'!C181</f>
        <v>0</v>
      </c>
      <c r="D162" s="239">
        <f>'Розшифровка кап'!D181</f>
        <v>0</v>
      </c>
      <c r="E162" s="239">
        <f>'Розшифровка кап'!E181</f>
        <v>8</v>
      </c>
      <c r="F162" s="239"/>
      <c r="G162" s="240"/>
    </row>
    <row r="163" spans="1:7" ht="21" customHeight="1">
      <c r="A163" s="245" t="str">
        <f>'Розшифровка кап'!A182</f>
        <v>тумба приліжкова 0,67/0,6*0,5 (2 шт)</v>
      </c>
      <c r="B163" s="242"/>
      <c r="C163" s="239">
        <f>'Розшифровка кап'!C182</f>
        <v>0</v>
      </c>
      <c r="D163" s="239">
        <f>'Розшифровка кап'!D182</f>
        <v>0</v>
      </c>
      <c r="E163" s="239">
        <f>'Розшифровка кап'!E182</f>
        <v>4.5999999999999996</v>
      </c>
      <c r="F163" s="239"/>
      <c r="G163" s="240"/>
    </row>
    <row r="164" spans="1:7" ht="21" customHeight="1">
      <c r="A164" s="245" t="str">
        <f>'Розшифровка кап'!A183</f>
        <v>балон для аргону   (3 шт)</v>
      </c>
      <c r="B164" s="242"/>
      <c r="C164" s="239">
        <f>'Розшифровка кап'!C183</f>
        <v>0</v>
      </c>
      <c r="D164" s="239">
        <f>'Розшифровка кап'!D183</f>
        <v>0</v>
      </c>
      <c r="E164" s="239">
        <f>'Розшифровка кап'!E183</f>
        <v>2.1</v>
      </c>
      <c r="F164" s="239"/>
      <c r="G164" s="240"/>
    </row>
    <row r="165" spans="1:7" ht="21" customHeight="1">
      <c r="A165" s="245" t="str">
        <f>'Розшифровка кап'!A184</f>
        <v xml:space="preserve">Електрочайник KHATA Plus                 </v>
      </c>
      <c r="B165" s="242"/>
      <c r="C165" s="239">
        <f>'Розшифровка кап'!C184</f>
        <v>0</v>
      </c>
      <c r="D165" s="239">
        <f>'Розшифровка кап'!D184</f>
        <v>0</v>
      </c>
      <c r="E165" s="239">
        <f>'Розшифровка кап'!E184</f>
        <v>0.3</v>
      </c>
      <c r="F165" s="239"/>
      <c r="G165" s="240"/>
    </row>
    <row r="166" spans="1:7" ht="21" customHeight="1">
      <c r="A166" s="245" t="str">
        <f>'Розшифровка кап'!A185</f>
        <v xml:space="preserve">Електрочайник Delfa </v>
      </c>
      <c r="B166" s="242"/>
      <c r="C166" s="239">
        <f>'Розшифровка кап'!C185</f>
        <v>0</v>
      </c>
      <c r="D166" s="239">
        <f>'Розшифровка кап'!D185</f>
        <v>0</v>
      </c>
      <c r="E166" s="239">
        <f>'Розшифровка кап'!E185</f>
        <v>0.4</v>
      </c>
      <c r="F166" s="239"/>
      <c r="G166" s="240"/>
    </row>
    <row r="167" spans="1:7" ht="21" customHeight="1">
      <c r="A167" s="245" t="str">
        <f>'Розшифровка кап'!A186</f>
        <v xml:space="preserve">Електрочайник Ardesto EKL-F110 </v>
      </c>
      <c r="B167" s="242"/>
      <c r="C167" s="239">
        <f>'Розшифровка кап'!C186</f>
        <v>0</v>
      </c>
      <c r="D167" s="239">
        <f>'Розшифровка кап'!D186</f>
        <v>0</v>
      </c>
      <c r="E167" s="239">
        <f>'Розшифровка кап'!E186</f>
        <v>0.7</v>
      </c>
      <c r="F167" s="239"/>
      <c r="G167" s="240"/>
    </row>
    <row r="168" spans="1:7" ht="21" customHeight="1">
      <c r="A168" s="245" t="str">
        <f>'Розшифровка кап'!A187</f>
        <v xml:space="preserve">телефоний апарат Astro A169 (14 шт)         </v>
      </c>
      <c r="B168" s="242"/>
      <c r="C168" s="239">
        <f>'Розшифровка кап'!C187</f>
        <v>0</v>
      </c>
      <c r="D168" s="239">
        <f>'Розшифровка кап'!D187</f>
        <v>0</v>
      </c>
      <c r="E168" s="239">
        <f>'Розшифровка кап'!E187</f>
        <v>5.6</v>
      </c>
      <c r="F168" s="239"/>
      <c r="G168" s="240"/>
    </row>
    <row r="169" spans="1:7" ht="21" customHeight="1">
      <c r="A169" s="245" t="str">
        <f>'Розшифровка кап'!A188</f>
        <v xml:space="preserve">протипролежневий масажний матрац (2 шт)   </v>
      </c>
      <c r="B169" s="242"/>
      <c r="C169" s="239">
        <f>'Розшифровка кап'!C188</f>
        <v>0</v>
      </c>
      <c r="D169" s="239">
        <f>'Розшифровка кап'!D188</f>
        <v>0</v>
      </c>
      <c r="E169" s="239">
        <f>'Розшифровка кап'!E188</f>
        <v>2.7</v>
      </c>
      <c r="F169" s="239"/>
      <c r="G169" s="240"/>
    </row>
    <row r="170" spans="1:7" ht="21" customHeight="1">
      <c r="A170" s="245" t="str">
        <f>'Розшифровка кап'!A189</f>
        <v xml:space="preserve">принтер Canon i-SENSYS MF3010+usb   </v>
      </c>
      <c r="B170" s="242"/>
      <c r="C170" s="239">
        <f>'Розшифровка кап'!C189</f>
        <v>0</v>
      </c>
      <c r="D170" s="239">
        <f>'Розшифровка кап'!D189</f>
        <v>0</v>
      </c>
      <c r="E170" s="239">
        <f>'Розшифровка кап'!E189</f>
        <v>5</v>
      </c>
      <c r="F170" s="239"/>
      <c r="G170" s="240"/>
    </row>
    <row r="171" spans="1:7" ht="21" customHeight="1">
      <c r="A171" s="245" t="str">
        <f>'Розшифровка кап'!A190</f>
        <v xml:space="preserve">холодильник Elenberg MR (2 шт)  </v>
      </c>
      <c r="B171" s="242"/>
      <c r="C171" s="239">
        <f>'Розшифровка кап'!C190</f>
        <v>0</v>
      </c>
      <c r="D171" s="239">
        <f>'Розшифровка кап'!D190</f>
        <v>0</v>
      </c>
      <c r="E171" s="239">
        <f>'Розшифровка кап'!E190</f>
        <v>7.6</v>
      </c>
      <c r="F171" s="239"/>
      <c r="G171" s="240"/>
    </row>
    <row r="172" spans="1:7" ht="31.5" customHeight="1">
      <c r="A172" s="245" t="str">
        <f>'Розшифровка кап'!A191</f>
        <v xml:space="preserve">смітник декоративний з мармуровою крихтою 400х400х630 в комплекті з відром (6 шт)                                                                                                                              </v>
      </c>
      <c r="B172" s="242"/>
      <c r="C172" s="239">
        <f>'Розшифровка кап'!C191</f>
        <v>0</v>
      </c>
      <c r="D172" s="239">
        <f>'Розшифровка кап'!D191</f>
        <v>0</v>
      </c>
      <c r="E172" s="239">
        <f>'Розшифровка кап'!E191</f>
        <v>15.3</v>
      </c>
      <c r="F172" s="239"/>
      <c r="G172" s="240"/>
    </row>
    <row r="173" spans="1:7" ht="21" customHeight="1">
      <c r="A173" s="245" t="str">
        <f>'Розшифровка кап'!A192</f>
        <v xml:space="preserve">Powercom RPT-600A Schuko (ДБЖ)                   </v>
      </c>
      <c r="B173" s="242"/>
      <c r="C173" s="239">
        <f>'Розшифровка кап'!C192</f>
        <v>0</v>
      </c>
      <c r="D173" s="239">
        <f>'Розшифровка кап'!D192</f>
        <v>0</v>
      </c>
      <c r="E173" s="239">
        <f>'Розшифровка кап'!E192</f>
        <v>1.4</v>
      </c>
      <c r="F173" s="239"/>
      <c r="G173" s="240"/>
    </row>
    <row r="174" spans="1:7" ht="21" customHeight="1">
      <c r="A174" s="245" t="str">
        <f>'Розшифровка кап'!A193</f>
        <v xml:space="preserve">Столик для УЗД для дітей   </v>
      </c>
      <c r="B174" s="242"/>
      <c r="C174" s="239">
        <f>'Розшифровка кап'!C193</f>
        <v>0</v>
      </c>
      <c r="D174" s="239">
        <f>'Розшифровка кап'!D193</f>
        <v>0</v>
      </c>
      <c r="E174" s="239">
        <f>'Розшифровка кап'!E193</f>
        <v>2</v>
      </c>
      <c r="F174" s="239"/>
      <c r="G174" s="240"/>
    </row>
    <row r="175" spans="1:7" ht="21" customHeight="1">
      <c r="A175" s="245" t="str">
        <f>'Розшифровка кап'!A194</f>
        <v>диван</v>
      </c>
      <c r="B175" s="242"/>
      <c r="C175" s="239">
        <f>'Розшифровка кап'!C194</f>
        <v>0</v>
      </c>
      <c r="D175" s="239">
        <f>'Розшифровка кап'!D194</f>
        <v>0</v>
      </c>
      <c r="E175" s="239">
        <f>'Розшифровка кап'!E194</f>
        <v>3</v>
      </c>
      <c r="F175" s="239"/>
      <c r="G175" s="240"/>
    </row>
    <row r="176" spans="1:7" ht="21" customHeight="1">
      <c r="A176" s="245" t="str">
        <f>'Розшифровка кап'!A195</f>
        <v xml:space="preserve">стілець донорський </v>
      </c>
      <c r="B176" s="242"/>
      <c r="C176" s="239">
        <f>'Розшифровка кап'!C195</f>
        <v>0</v>
      </c>
      <c r="D176" s="239">
        <f>'Розшифровка кап'!D195</f>
        <v>0</v>
      </c>
      <c r="E176" s="239">
        <f>'Розшифровка кап'!E195</f>
        <v>3.7</v>
      </c>
      <c r="F176" s="239"/>
      <c r="G176" s="240"/>
    </row>
    <row r="177" spans="1:7" ht="21" customHeight="1">
      <c r="A177" s="245" t="str">
        <f>'Розшифровка кап'!A196</f>
        <v>м`який інвентар</v>
      </c>
      <c r="B177" s="242"/>
      <c r="C177" s="239">
        <f>'Розшифровка кап'!C196</f>
        <v>0</v>
      </c>
      <c r="D177" s="239">
        <f>'Розшифровка кап'!D196</f>
        <v>0</v>
      </c>
      <c r="E177" s="239">
        <f>'Розшифровка кап'!E196</f>
        <v>24.200000000000003</v>
      </c>
      <c r="F177" s="239"/>
      <c r="G177" s="240"/>
    </row>
    <row r="178" spans="1:7" ht="21" customHeight="1">
      <c r="A178" s="245" t="str">
        <f>'Розшифровка кап'!A197</f>
        <v xml:space="preserve">матрац б/н </v>
      </c>
      <c r="B178" s="242"/>
      <c r="C178" s="239">
        <f>'Розшифровка кап'!C197</f>
        <v>0</v>
      </c>
      <c r="D178" s="239">
        <f>'Розшифровка кап'!D197</f>
        <v>0</v>
      </c>
      <c r="E178" s="239">
        <f>'Розшифровка кап'!E197</f>
        <v>2.5</v>
      </c>
      <c r="F178" s="239"/>
      <c r="G178" s="240"/>
    </row>
    <row r="179" spans="1:7" ht="21" customHeight="1">
      <c r="A179" s="245" t="str">
        <f>'Розшифровка кап'!A198</f>
        <v xml:space="preserve">Тумба без дверцят (0,4*0,4*0,8) (2 шт)      </v>
      </c>
      <c r="B179" s="242"/>
      <c r="C179" s="239">
        <f>'Розшифровка кап'!C198</f>
        <v>0</v>
      </c>
      <c r="D179" s="239">
        <f>'Розшифровка кап'!D198</f>
        <v>0</v>
      </c>
      <c r="E179" s="239">
        <f>'Розшифровка кап'!E198</f>
        <v>2.1</v>
      </c>
      <c r="F179" s="239"/>
      <c r="G179" s="240"/>
    </row>
    <row r="180" spans="1:7" ht="21" customHeight="1">
      <c r="A180" s="245" t="str">
        <f>'Розшифровка кап'!A199</f>
        <v xml:space="preserve">Тумба з дверцятами та поличкою 0,75*0,5*0,4    </v>
      </c>
      <c r="B180" s="242"/>
      <c r="C180" s="239">
        <f>'Розшифровка кап'!C199</f>
        <v>0</v>
      </c>
      <c r="D180" s="239">
        <f>'Розшифровка кап'!D199</f>
        <v>0</v>
      </c>
      <c r="E180" s="239">
        <f>'Розшифровка кап'!E199</f>
        <v>1.5</v>
      </c>
      <c r="F180" s="239"/>
      <c r="G180" s="240"/>
    </row>
    <row r="181" spans="1:7" ht="21" customHeight="1">
      <c r="A181" s="245" t="str">
        <f>'Розшифровка кап'!A200</f>
        <v xml:space="preserve">Поличка (1,35*1,2*0,4)  </v>
      </c>
      <c r="B181" s="242"/>
      <c r="C181" s="239">
        <f>'Розшифровка кап'!C200</f>
        <v>0</v>
      </c>
      <c r="D181" s="239">
        <f>'Розшифровка кап'!D200</f>
        <v>0</v>
      </c>
      <c r="E181" s="239">
        <f>'Розшифровка кап'!E200</f>
        <v>1.4</v>
      </c>
      <c r="F181" s="239"/>
      <c r="G181" s="240"/>
    </row>
    <row r="182" spans="1:7" ht="21" customHeight="1">
      <c r="A182" s="245" t="str">
        <f>'Розшифровка кап'!A201</f>
        <v xml:space="preserve">Поличка (1,35*0,8*0,4)    </v>
      </c>
      <c r="B182" s="242"/>
      <c r="C182" s="239">
        <f>'Розшифровка кап'!C201</f>
        <v>0</v>
      </c>
      <c r="D182" s="239">
        <f>'Розшифровка кап'!D201</f>
        <v>0</v>
      </c>
      <c r="E182" s="239">
        <f>'Розшифровка кап'!E201</f>
        <v>2.1</v>
      </c>
      <c r="F182" s="239"/>
      <c r="G182" s="240"/>
    </row>
    <row r="183" spans="1:7" ht="21" customHeight="1">
      <c r="A183" s="245" t="str">
        <f>'Розшифровка кап'!A202</f>
        <v xml:space="preserve">Шафа на 5-ть поличок 2,45*0,9*0,4     </v>
      </c>
      <c r="B183" s="242"/>
      <c r="C183" s="239">
        <f>'Розшифровка кап'!C202</f>
        <v>0</v>
      </c>
      <c r="D183" s="239">
        <f>'Розшифровка кап'!D202</f>
        <v>0</v>
      </c>
      <c r="E183" s="239">
        <f>'Розшифровка кап'!E202</f>
        <v>4.5</v>
      </c>
      <c r="F183" s="239"/>
      <c r="G183" s="240"/>
    </row>
    <row r="184" spans="1:7" s="248" customFormat="1" ht="44.25" customHeight="1">
      <c r="A184" s="241" t="s">
        <v>676</v>
      </c>
      <c r="B184" s="327">
        <v>3269</v>
      </c>
      <c r="C184" s="247">
        <f>C185</f>
        <v>2563.8000000000002</v>
      </c>
      <c r="D184" s="247"/>
      <c r="E184" s="247"/>
      <c r="F184" s="247">
        <f t="shared" si="1"/>
        <v>0</v>
      </c>
      <c r="G184" s="326" t="e">
        <f t="shared" si="2"/>
        <v>#DIV/0!</v>
      </c>
    </row>
    <row r="185" spans="1:7" ht="56.25" customHeight="1">
      <c r="A185" s="245" t="str">
        <f>'Розшифровка кап'!A205</f>
        <v>реконструкція території насосної з улаштуванням приміщення для медичних відходів та тимчасової стоянки для автомобілів КНП "ВМКЛ "ЦМтаД" по вул.Маяковського,138 в м.Вінниці</v>
      </c>
      <c r="B185" s="242"/>
      <c r="C185" s="239">
        <f>'Розшифровка кап'!C205</f>
        <v>2563.8000000000002</v>
      </c>
      <c r="D185" s="243"/>
      <c r="E185" s="243"/>
      <c r="F185" s="239">
        <f t="shared" si="1"/>
        <v>0</v>
      </c>
      <c r="G185" s="240" t="e">
        <f t="shared" si="2"/>
        <v>#DIV/0!</v>
      </c>
    </row>
    <row r="186" spans="1:7" ht="24.75" customHeight="1">
      <c r="A186" s="241" t="s">
        <v>677</v>
      </c>
      <c r="B186" s="242">
        <v>3270</v>
      </c>
      <c r="C186" s="247">
        <f>C187+C188+C189</f>
        <v>1113.5</v>
      </c>
      <c r="D186" s="247">
        <f t="shared" ref="D186:E186" si="13">D187+D188+D189</f>
        <v>0</v>
      </c>
      <c r="E186" s="247">
        <f t="shared" si="13"/>
        <v>552.29999999999995</v>
      </c>
      <c r="F186" s="247">
        <f t="shared" si="1"/>
        <v>552.29999999999995</v>
      </c>
      <c r="G186" s="326" t="e">
        <f t="shared" si="2"/>
        <v>#DIV/0!</v>
      </c>
    </row>
    <row r="187" spans="1:7" ht="45.75" customHeight="1">
      <c r="A187" s="245" t="str">
        <f>'Розшифровка кап'!A207</f>
        <v>капітальний ремонт інженерних мереж будівлі дитячого стаціонару КНП «ВМКЛ «ЦМтаД» за адресою вулиця Маяковського,138 в м.Вінниці</v>
      </c>
      <c r="B187" s="238"/>
      <c r="C187" s="243">
        <f>'Розшифровка кап'!C207</f>
        <v>887.5</v>
      </c>
      <c r="D187" s="243">
        <f>'Розшифровка кап'!D207</f>
        <v>0</v>
      </c>
      <c r="E187" s="243">
        <f>'Розшифровка кап'!E207</f>
        <v>0</v>
      </c>
      <c r="F187" s="239"/>
      <c r="G187" s="240"/>
    </row>
    <row r="188" spans="1:7" ht="46.5" customHeight="1">
      <c r="A188" s="245" t="str">
        <f>'Розшифровка кап'!A208</f>
        <v>капітальний ремонт приміщень четвертого поверху пологового будинку міської лікарні "Центр матері та дитини" за адресою: м.Вінниці вул. Маяковського,138 в м. Вінниця</v>
      </c>
      <c r="B188" s="238"/>
      <c r="C188" s="243">
        <f>'Розшифровка кап'!C208</f>
        <v>226</v>
      </c>
      <c r="D188" s="243">
        <f>'Розшифровка кап'!D208</f>
        <v>0</v>
      </c>
      <c r="E188" s="243">
        <f>'Розшифровка кап'!E208</f>
        <v>274.2</v>
      </c>
      <c r="F188" s="239"/>
      <c r="G188" s="240"/>
    </row>
    <row r="189" spans="1:7" ht="52.5" customHeight="1">
      <c r="A189" s="245" t="str">
        <f>'Розшифровка кап'!A209</f>
        <v>капітальний ремонт благоустрою території комунального некомерційного підприємства "Центр матері та дитини" по вул. Маяковського,138 в м.Вінниці</v>
      </c>
      <c r="B189" s="238"/>
      <c r="C189" s="243">
        <f>'Розшифровка кап'!C209</f>
        <v>0</v>
      </c>
      <c r="D189" s="243">
        <f>'Розшифровка кап'!D209</f>
        <v>0</v>
      </c>
      <c r="E189" s="243">
        <f>'Розшифровка кап'!E209</f>
        <v>278.10000000000002</v>
      </c>
      <c r="F189" s="239"/>
      <c r="G189" s="240"/>
    </row>
    <row r="190" spans="1:7" ht="24" customHeight="1">
      <c r="A190" s="237" t="s">
        <v>663</v>
      </c>
      <c r="B190" s="238"/>
      <c r="C190" s="239"/>
      <c r="D190" s="239"/>
      <c r="E190" s="239"/>
      <c r="F190" s="239"/>
      <c r="G190" s="240"/>
    </row>
    <row r="191" spans="1:7" ht="26.25" customHeight="1">
      <c r="A191" s="241" t="s">
        <v>664</v>
      </c>
      <c r="B191" s="242"/>
      <c r="C191" s="243"/>
      <c r="D191" s="243"/>
      <c r="E191" s="243"/>
      <c r="F191" s="243"/>
      <c r="G191" s="244"/>
    </row>
    <row r="192" spans="1:7" ht="24.75" customHeight="1">
      <c r="A192" s="241" t="s">
        <v>672</v>
      </c>
      <c r="B192" s="242">
        <v>3340</v>
      </c>
      <c r="C192" s="247">
        <f>C193</f>
        <v>26.5</v>
      </c>
      <c r="D192" s="247">
        <f t="shared" ref="D192:E192" si="14">D193</f>
        <v>33.6</v>
      </c>
      <c r="E192" s="247">
        <f t="shared" si="14"/>
        <v>30.1</v>
      </c>
      <c r="F192" s="247">
        <f t="shared" si="1"/>
        <v>-3.5</v>
      </c>
      <c r="G192" s="326">
        <f t="shared" si="2"/>
        <v>89.583333333333343</v>
      </c>
    </row>
    <row r="193" spans="1:7" ht="31.5" customHeight="1">
      <c r="A193" s="245" t="str">
        <f>'Розшифровка 1 до Формування'!B24</f>
        <v>надходження від відсотків за залишками коштів на депозитних рахунках</v>
      </c>
      <c r="B193" s="238"/>
      <c r="C193" s="239">
        <v>26.5</v>
      </c>
      <c r="D193" s="239">
        <v>33.6</v>
      </c>
      <c r="E193" s="239">
        <v>30.1</v>
      </c>
      <c r="F193" s="239">
        <f t="shared" si="1"/>
        <v>-3.5</v>
      </c>
      <c r="G193" s="240">
        <f t="shared" si="2"/>
        <v>89.583333333333343</v>
      </c>
    </row>
    <row r="194" spans="1:7" s="248" customFormat="1" ht="19.5" customHeight="1">
      <c r="A194" s="249"/>
      <c r="B194" s="250"/>
      <c r="C194" s="174"/>
      <c r="D194" s="174"/>
      <c r="E194" s="174"/>
      <c r="F194" s="174"/>
      <c r="G194" s="130"/>
    </row>
    <row r="195" spans="1:7" ht="26.25" customHeight="1">
      <c r="A195" s="359" t="s">
        <v>432</v>
      </c>
      <c r="B195" s="17"/>
      <c r="C195" s="404"/>
      <c r="D195" s="404"/>
      <c r="E195" s="104"/>
      <c r="F195" s="416" t="s">
        <v>520</v>
      </c>
      <c r="G195" s="416"/>
    </row>
    <row r="196" spans="1:7">
      <c r="A196" s="225" t="s">
        <v>59</v>
      </c>
      <c r="B196" s="18"/>
      <c r="C196" s="405" t="s">
        <v>65</v>
      </c>
      <c r="D196" s="405"/>
      <c r="E196" s="224"/>
      <c r="F196" s="414" t="s">
        <v>18</v>
      </c>
      <c r="G196" s="414"/>
    </row>
    <row r="197" spans="1:7">
      <c r="A197" s="251"/>
      <c r="B197" s="252"/>
      <c r="C197" s="253"/>
      <c r="D197" s="254"/>
      <c r="E197" s="254"/>
      <c r="F197" s="254"/>
    </row>
    <row r="198" spans="1:7">
      <c r="A198" s="251"/>
      <c r="B198" s="252"/>
      <c r="C198" s="253"/>
      <c r="D198" s="254"/>
      <c r="E198" s="254"/>
      <c r="F198" s="254"/>
    </row>
    <row r="199" spans="1:7">
      <c r="A199" s="251"/>
      <c r="B199" s="252"/>
      <c r="C199" s="253"/>
      <c r="D199" s="254"/>
      <c r="E199" s="254"/>
      <c r="F199" s="254"/>
    </row>
    <row r="200" spans="1:7">
      <c r="A200" s="251"/>
      <c r="B200" s="252"/>
      <c r="C200" s="253"/>
      <c r="D200" s="254"/>
      <c r="E200" s="254"/>
      <c r="F200" s="254"/>
    </row>
    <row r="201" spans="1:7">
      <c r="A201" s="251"/>
      <c r="B201" s="252"/>
      <c r="C201" s="253"/>
      <c r="D201" s="254"/>
      <c r="E201" s="254"/>
      <c r="F201" s="254"/>
    </row>
    <row r="202" spans="1:7">
      <c r="A202" s="251"/>
      <c r="B202" s="252"/>
      <c r="C202" s="253"/>
      <c r="D202" s="254"/>
      <c r="E202" s="254"/>
      <c r="F202" s="254"/>
    </row>
    <row r="203" spans="1:7">
      <c r="A203" s="251"/>
      <c r="B203" s="252"/>
      <c r="C203" s="253"/>
      <c r="D203" s="254"/>
      <c r="E203" s="254"/>
      <c r="F203" s="254"/>
    </row>
    <row r="204" spans="1:7">
      <c r="A204" s="251"/>
      <c r="B204" s="252"/>
      <c r="C204" s="253"/>
      <c r="D204" s="254"/>
      <c r="E204" s="254"/>
      <c r="F204" s="254"/>
    </row>
    <row r="205" spans="1:7">
      <c r="A205" s="251"/>
      <c r="B205" s="252"/>
      <c r="C205" s="253"/>
      <c r="D205" s="254"/>
      <c r="E205" s="254"/>
      <c r="F205" s="254"/>
    </row>
    <row r="206" spans="1:7">
      <c r="A206" s="251"/>
      <c r="B206" s="252"/>
      <c r="C206" s="253"/>
      <c r="D206" s="254"/>
      <c r="E206" s="254"/>
      <c r="F206" s="254"/>
    </row>
    <row r="207" spans="1:7">
      <c r="A207" s="251"/>
      <c r="B207" s="252"/>
      <c r="C207" s="253"/>
      <c r="D207" s="254"/>
      <c r="E207" s="254"/>
      <c r="F207" s="254"/>
    </row>
    <row r="208" spans="1:7">
      <c r="A208" s="251"/>
      <c r="B208" s="252"/>
      <c r="C208" s="253"/>
      <c r="D208" s="254"/>
      <c r="E208" s="254"/>
      <c r="F208" s="254"/>
    </row>
    <row r="209" spans="1:6">
      <c r="A209" s="251"/>
      <c r="B209" s="252"/>
      <c r="C209" s="253"/>
      <c r="D209" s="254"/>
      <c r="E209" s="254"/>
      <c r="F209" s="254"/>
    </row>
    <row r="210" spans="1:6">
      <c r="A210" s="251"/>
      <c r="B210" s="252"/>
      <c r="C210" s="253"/>
      <c r="D210" s="254"/>
      <c r="E210" s="254"/>
      <c r="F210" s="254"/>
    </row>
    <row r="211" spans="1:6">
      <c r="A211" s="251"/>
      <c r="B211" s="252"/>
      <c r="C211" s="253"/>
      <c r="D211" s="254"/>
      <c r="E211" s="254"/>
      <c r="F211" s="254"/>
    </row>
    <row r="212" spans="1:6">
      <c r="A212" s="251"/>
      <c r="B212" s="252"/>
      <c r="C212" s="253"/>
      <c r="D212" s="254"/>
      <c r="E212" s="254"/>
      <c r="F212" s="254"/>
    </row>
    <row r="213" spans="1:6">
      <c r="A213" s="251"/>
      <c r="B213" s="252"/>
      <c r="C213" s="253"/>
      <c r="D213" s="254"/>
      <c r="E213" s="254"/>
      <c r="F213" s="254"/>
    </row>
    <row r="214" spans="1:6">
      <c r="A214" s="251"/>
      <c r="B214" s="252"/>
      <c r="C214" s="253"/>
      <c r="D214" s="254"/>
      <c r="E214" s="254"/>
      <c r="F214" s="254"/>
    </row>
    <row r="215" spans="1:6">
      <c r="A215" s="251"/>
      <c r="B215" s="252"/>
      <c r="C215" s="253"/>
      <c r="D215" s="254"/>
      <c r="E215" s="254"/>
      <c r="F215" s="254"/>
    </row>
    <row r="216" spans="1:6">
      <c r="A216" s="251"/>
      <c r="B216" s="252"/>
      <c r="C216" s="253"/>
      <c r="D216" s="254"/>
      <c r="E216" s="254"/>
      <c r="F216" s="254"/>
    </row>
    <row r="217" spans="1:6">
      <c r="A217" s="251"/>
      <c r="B217" s="252"/>
      <c r="C217" s="253"/>
      <c r="D217" s="254"/>
      <c r="E217" s="254"/>
      <c r="F217" s="254"/>
    </row>
    <row r="218" spans="1:6">
      <c r="A218" s="251"/>
      <c r="B218" s="252"/>
      <c r="C218" s="253"/>
      <c r="D218" s="254"/>
      <c r="E218" s="254"/>
      <c r="F218" s="254"/>
    </row>
    <row r="219" spans="1:6">
      <c r="A219" s="251"/>
      <c r="B219" s="252"/>
      <c r="C219" s="253"/>
      <c r="D219" s="254"/>
      <c r="E219" s="254"/>
      <c r="F219" s="254"/>
    </row>
    <row r="220" spans="1:6">
      <c r="A220" s="251"/>
      <c r="B220" s="252"/>
      <c r="C220" s="253"/>
      <c r="D220" s="254"/>
      <c r="E220" s="254"/>
      <c r="F220" s="254"/>
    </row>
    <row r="221" spans="1:6">
      <c r="A221" s="251"/>
      <c r="B221" s="252"/>
      <c r="C221" s="253"/>
      <c r="D221" s="254"/>
      <c r="E221" s="254"/>
      <c r="F221" s="254"/>
    </row>
    <row r="222" spans="1:6">
      <c r="A222" s="251"/>
      <c r="B222" s="252"/>
      <c r="C222" s="253"/>
      <c r="D222" s="254"/>
      <c r="E222" s="254"/>
      <c r="F222" s="254"/>
    </row>
    <row r="223" spans="1:6">
      <c r="A223" s="251"/>
      <c r="B223" s="252"/>
      <c r="C223" s="253"/>
      <c r="D223" s="254"/>
      <c r="E223" s="254"/>
      <c r="F223" s="254"/>
    </row>
    <row r="224" spans="1:6">
      <c r="A224" s="251"/>
      <c r="B224" s="252"/>
      <c r="C224" s="253"/>
      <c r="D224" s="254"/>
      <c r="E224" s="254"/>
      <c r="F224" s="254"/>
    </row>
    <row r="225" spans="1:6">
      <c r="A225" s="251"/>
      <c r="B225" s="252"/>
      <c r="C225" s="253"/>
      <c r="D225" s="254"/>
      <c r="E225" s="254"/>
      <c r="F225" s="254"/>
    </row>
    <row r="226" spans="1:6">
      <c r="A226" s="251"/>
      <c r="B226" s="252"/>
      <c r="C226" s="253"/>
      <c r="D226" s="254"/>
      <c r="E226" s="254"/>
      <c r="F226" s="254"/>
    </row>
    <row r="227" spans="1:6">
      <c r="A227" s="251"/>
      <c r="B227" s="252"/>
      <c r="C227" s="253"/>
      <c r="D227" s="254"/>
      <c r="E227" s="254"/>
      <c r="F227" s="254"/>
    </row>
    <row r="228" spans="1:6">
      <c r="A228" s="251"/>
      <c r="C228" s="256"/>
      <c r="D228" s="257"/>
      <c r="E228" s="257"/>
      <c r="F228" s="257"/>
    </row>
    <row r="229" spans="1:6">
      <c r="A229" s="258"/>
      <c r="C229" s="256"/>
      <c r="D229" s="257"/>
      <c r="E229" s="257"/>
      <c r="F229" s="257"/>
    </row>
    <row r="230" spans="1:6">
      <c r="A230" s="258"/>
      <c r="C230" s="256"/>
      <c r="D230" s="257"/>
      <c r="E230" s="257"/>
      <c r="F230" s="257"/>
    </row>
    <row r="231" spans="1:6">
      <c r="A231" s="258"/>
      <c r="C231" s="256"/>
      <c r="D231" s="257"/>
      <c r="E231" s="257"/>
      <c r="F231" s="257"/>
    </row>
    <row r="232" spans="1:6">
      <c r="A232" s="258"/>
      <c r="C232" s="256"/>
      <c r="D232" s="257"/>
      <c r="E232" s="257"/>
      <c r="F232" s="257"/>
    </row>
    <row r="233" spans="1:6">
      <c r="A233" s="258"/>
      <c r="C233" s="256"/>
      <c r="D233" s="257"/>
      <c r="E233" s="257"/>
      <c r="F233" s="257"/>
    </row>
    <row r="234" spans="1:6">
      <c r="A234" s="258"/>
      <c r="C234" s="256"/>
      <c r="D234" s="257"/>
      <c r="E234" s="257"/>
      <c r="F234" s="257"/>
    </row>
    <row r="235" spans="1:6">
      <c r="A235" s="258"/>
      <c r="C235" s="256"/>
      <c r="D235" s="257"/>
      <c r="E235" s="257"/>
      <c r="F235" s="257"/>
    </row>
    <row r="236" spans="1:6">
      <c r="A236" s="258"/>
      <c r="C236" s="256"/>
      <c r="D236" s="257"/>
      <c r="E236" s="257"/>
      <c r="F236" s="257"/>
    </row>
    <row r="237" spans="1:6">
      <c r="A237" s="258"/>
      <c r="C237" s="256"/>
      <c r="D237" s="257"/>
      <c r="E237" s="257"/>
      <c r="F237" s="257"/>
    </row>
    <row r="238" spans="1:6">
      <c r="A238" s="258"/>
      <c r="C238" s="256"/>
      <c r="D238" s="257"/>
      <c r="E238" s="257"/>
      <c r="F238" s="257"/>
    </row>
    <row r="239" spans="1:6">
      <c r="A239" s="258"/>
      <c r="C239" s="256"/>
      <c r="D239" s="257"/>
      <c r="E239" s="257"/>
      <c r="F239" s="257"/>
    </row>
    <row r="240" spans="1:6">
      <c r="A240" s="258"/>
      <c r="C240" s="256"/>
      <c r="D240" s="257"/>
      <c r="E240" s="257"/>
      <c r="F240" s="257"/>
    </row>
    <row r="241" spans="1:6">
      <c r="A241" s="258"/>
      <c r="C241" s="256"/>
      <c r="D241" s="257"/>
      <c r="E241" s="257"/>
      <c r="F241" s="257"/>
    </row>
    <row r="242" spans="1:6">
      <c r="A242" s="258"/>
      <c r="C242" s="256"/>
      <c r="D242" s="257"/>
      <c r="E242" s="257"/>
      <c r="F242" s="257"/>
    </row>
    <row r="243" spans="1:6">
      <c r="A243" s="258"/>
      <c r="C243" s="256"/>
      <c r="D243" s="257"/>
      <c r="E243" s="257"/>
      <c r="F243" s="257"/>
    </row>
    <row r="244" spans="1:6">
      <c r="A244" s="258"/>
      <c r="C244" s="256"/>
      <c r="D244" s="257"/>
      <c r="E244" s="257"/>
      <c r="F244" s="257"/>
    </row>
    <row r="245" spans="1:6">
      <c r="A245" s="258"/>
      <c r="C245" s="256"/>
      <c r="D245" s="257"/>
      <c r="E245" s="257"/>
      <c r="F245" s="257"/>
    </row>
    <row r="246" spans="1:6">
      <c r="A246" s="258"/>
      <c r="C246" s="256"/>
      <c r="D246" s="257"/>
      <c r="E246" s="257"/>
      <c r="F246" s="257"/>
    </row>
    <row r="247" spans="1:6">
      <c r="A247" s="258"/>
      <c r="C247" s="256"/>
      <c r="D247" s="257"/>
      <c r="E247" s="257"/>
      <c r="F247" s="257"/>
    </row>
    <row r="248" spans="1:6">
      <c r="A248" s="258"/>
      <c r="C248" s="256"/>
      <c r="D248" s="257"/>
      <c r="E248" s="257"/>
      <c r="F248" s="257"/>
    </row>
    <row r="249" spans="1:6">
      <c r="A249" s="258"/>
      <c r="C249" s="256"/>
      <c r="D249" s="257"/>
      <c r="E249" s="257"/>
      <c r="F249" s="257"/>
    </row>
    <row r="250" spans="1:6">
      <c r="A250" s="258"/>
      <c r="C250" s="256"/>
      <c r="D250" s="257"/>
      <c r="E250" s="257"/>
      <c r="F250" s="257"/>
    </row>
    <row r="251" spans="1:6">
      <c r="A251" s="258"/>
    </row>
    <row r="252" spans="1:6">
      <c r="A252" s="259"/>
    </row>
    <row r="253" spans="1:6">
      <c r="A253" s="259"/>
    </row>
    <row r="254" spans="1:6">
      <c r="A254" s="259"/>
    </row>
    <row r="255" spans="1:6">
      <c r="A255" s="259"/>
    </row>
    <row r="256" spans="1:6">
      <c r="A256" s="259"/>
    </row>
    <row r="257" spans="1:1">
      <c r="A257" s="259"/>
    </row>
    <row r="258" spans="1:1">
      <c r="A258" s="259"/>
    </row>
    <row r="259" spans="1:1">
      <c r="A259" s="259"/>
    </row>
    <row r="260" spans="1:1">
      <c r="A260" s="259"/>
    </row>
    <row r="261" spans="1:1">
      <c r="A261" s="259"/>
    </row>
    <row r="262" spans="1:1">
      <c r="A262" s="259"/>
    </row>
    <row r="263" spans="1:1">
      <c r="A263" s="259"/>
    </row>
    <row r="264" spans="1:1">
      <c r="A264" s="259"/>
    </row>
    <row r="265" spans="1:1">
      <c r="A265" s="259"/>
    </row>
    <row r="266" spans="1:1">
      <c r="A266" s="259"/>
    </row>
    <row r="267" spans="1:1">
      <c r="A267" s="259"/>
    </row>
    <row r="268" spans="1:1">
      <c r="A268" s="259"/>
    </row>
    <row r="269" spans="1:1">
      <c r="A269" s="259"/>
    </row>
    <row r="270" spans="1:1">
      <c r="A270" s="259"/>
    </row>
    <row r="271" spans="1:1">
      <c r="A271" s="259"/>
    </row>
    <row r="272" spans="1:1">
      <c r="A272" s="259"/>
    </row>
    <row r="273" spans="1:1">
      <c r="A273" s="259"/>
    </row>
    <row r="274" spans="1:1">
      <c r="A274" s="259"/>
    </row>
    <row r="275" spans="1:1">
      <c r="A275" s="259"/>
    </row>
    <row r="276" spans="1:1">
      <c r="A276" s="259"/>
    </row>
    <row r="277" spans="1:1">
      <c r="A277" s="259"/>
    </row>
    <row r="278" spans="1:1">
      <c r="A278" s="259"/>
    </row>
    <row r="279" spans="1:1">
      <c r="A279" s="259"/>
    </row>
    <row r="280" spans="1:1">
      <c r="A280" s="259"/>
    </row>
    <row r="281" spans="1:1">
      <c r="A281" s="259"/>
    </row>
    <row r="282" spans="1:1">
      <c r="A282" s="259"/>
    </row>
    <row r="283" spans="1:1">
      <c r="A283" s="259"/>
    </row>
    <row r="284" spans="1:1">
      <c r="A284" s="259"/>
    </row>
    <row r="285" spans="1:1">
      <c r="A285" s="259"/>
    </row>
    <row r="286" spans="1:1">
      <c r="A286" s="259"/>
    </row>
    <row r="287" spans="1:1">
      <c r="A287" s="259"/>
    </row>
    <row r="288" spans="1:1">
      <c r="A288" s="259"/>
    </row>
    <row r="289" spans="1:1">
      <c r="A289" s="259"/>
    </row>
    <row r="290" spans="1:1">
      <c r="A290" s="259"/>
    </row>
    <row r="291" spans="1:1">
      <c r="A291" s="259"/>
    </row>
    <row r="292" spans="1:1">
      <c r="A292" s="259"/>
    </row>
    <row r="293" spans="1:1">
      <c r="A293" s="259"/>
    </row>
    <row r="294" spans="1:1">
      <c r="A294" s="259"/>
    </row>
    <row r="295" spans="1:1">
      <c r="A295" s="259"/>
    </row>
    <row r="296" spans="1:1">
      <c r="A296" s="259"/>
    </row>
    <row r="297" spans="1:1">
      <c r="A297" s="259"/>
    </row>
    <row r="298" spans="1:1">
      <c r="A298" s="259"/>
    </row>
    <row r="299" spans="1:1">
      <c r="A299" s="259"/>
    </row>
    <row r="300" spans="1:1">
      <c r="A300" s="259"/>
    </row>
    <row r="301" spans="1:1">
      <c r="A301" s="259"/>
    </row>
    <row r="302" spans="1:1">
      <c r="A302" s="259"/>
    </row>
    <row r="303" spans="1:1">
      <c r="A303" s="259"/>
    </row>
    <row r="304" spans="1:1">
      <c r="A304" s="259"/>
    </row>
    <row r="305" spans="1:1">
      <c r="A305" s="259"/>
    </row>
    <row r="306" spans="1:1">
      <c r="A306" s="259"/>
    </row>
    <row r="307" spans="1:1">
      <c r="A307" s="259"/>
    </row>
    <row r="308" spans="1:1">
      <c r="A308" s="259"/>
    </row>
    <row r="309" spans="1:1">
      <c r="A309" s="259"/>
    </row>
    <row r="310" spans="1:1">
      <c r="A310" s="259"/>
    </row>
    <row r="311" spans="1:1">
      <c r="A311" s="259"/>
    </row>
    <row r="312" spans="1:1">
      <c r="A312" s="259"/>
    </row>
    <row r="313" spans="1:1">
      <c r="A313" s="259"/>
    </row>
    <row r="314" spans="1:1">
      <c r="A314" s="259"/>
    </row>
    <row r="315" spans="1:1">
      <c r="A315" s="259"/>
    </row>
    <row r="316" spans="1:1">
      <c r="A316" s="259"/>
    </row>
    <row r="317" spans="1:1">
      <c r="A317" s="259"/>
    </row>
    <row r="318" spans="1:1">
      <c r="A318" s="259"/>
    </row>
    <row r="319" spans="1:1">
      <c r="A319" s="259"/>
    </row>
    <row r="320" spans="1:1">
      <c r="A320" s="259"/>
    </row>
    <row r="321" spans="1:1">
      <c r="A321" s="259"/>
    </row>
    <row r="322" spans="1:1">
      <c r="A322" s="259"/>
    </row>
    <row r="323" spans="1:1">
      <c r="A323" s="259"/>
    </row>
    <row r="324" spans="1:1">
      <c r="A324" s="259"/>
    </row>
    <row r="325" spans="1:1">
      <c r="A325" s="259"/>
    </row>
    <row r="326" spans="1:1">
      <c r="A326" s="259"/>
    </row>
    <row r="327" spans="1:1">
      <c r="A327" s="259"/>
    </row>
    <row r="328" spans="1:1">
      <c r="A328" s="259"/>
    </row>
    <row r="329" spans="1:1">
      <c r="A329" s="259"/>
    </row>
    <row r="330" spans="1:1">
      <c r="A330" s="259"/>
    </row>
    <row r="331" spans="1:1">
      <c r="A331" s="259"/>
    </row>
    <row r="332" spans="1:1">
      <c r="A332" s="259"/>
    </row>
    <row r="333" spans="1:1">
      <c r="A333" s="259"/>
    </row>
    <row r="334" spans="1:1">
      <c r="A334" s="259"/>
    </row>
    <row r="335" spans="1:1">
      <c r="A335" s="259"/>
    </row>
    <row r="336" spans="1:1">
      <c r="A336" s="259"/>
    </row>
    <row r="337" spans="1:1">
      <c r="A337" s="259"/>
    </row>
    <row r="338" spans="1:1">
      <c r="A338" s="259"/>
    </row>
    <row r="339" spans="1:1">
      <c r="A339" s="259"/>
    </row>
    <row r="340" spans="1:1">
      <c r="A340" s="259"/>
    </row>
    <row r="341" spans="1:1">
      <c r="A341" s="259"/>
    </row>
    <row r="342" spans="1:1">
      <c r="A342" s="259"/>
    </row>
    <row r="343" spans="1:1">
      <c r="A343" s="259"/>
    </row>
    <row r="344" spans="1:1">
      <c r="A344" s="259"/>
    </row>
    <row r="345" spans="1:1">
      <c r="A345" s="259"/>
    </row>
    <row r="346" spans="1:1">
      <c r="A346" s="259"/>
    </row>
    <row r="347" spans="1:1">
      <c r="A347" s="259"/>
    </row>
    <row r="348" spans="1:1">
      <c r="A348" s="259"/>
    </row>
    <row r="349" spans="1:1">
      <c r="A349" s="259"/>
    </row>
    <row r="350" spans="1:1">
      <c r="A350" s="259"/>
    </row>
    <row r="351" spans="1:1">
      <c r="A351" s="259"/>
    </row>
    <row r="352" spans="1:1">
      <c r="A352" s="259"/>
    </row>
    <row r="353" spans="1:1">
      <c r="A353" s="259"/>
    </row>
    <row r="354" spans="1:1">
      <c r="A354" s="259"/>
    </row>
    <row r="355" spans="1:1">
      <c r="A355" s="259"/>
    </row>
    <row r="356" spans="1:1">
      <c r="A356" s="259"/>
    </row>
    <row r="357" spans="1:1">
      <c r="A357" s="259"/>
    </row>
    <row r="358" spans="1:1">
      <c r="A358" s="259"/>
    </row>
    <row r="359" spans="1:1">
      <c r="A359" s="259"/>
    </row>
    <row r="360" spans="1:1">
      <c r="A360" s="259"/>
    </row>
    <row r="361" spans="1:1">
      <c r="A361" s="259"/>
    </row>
    <row r="362" spans="1:1">
      <c r="A362" s="259"/>
    </row>
    <row r="363" spans="1:1">
      <c r="A363" s="259"/>
    </row>
    <row r="364" spans="1:1">
      <c r="A364" s="259"/>
    </row>
    <row r="365" spans="1:1">
      <c r="A365" s="259"/>
    </row>
    <row r="366" spans="1:1">
      <c r="A366" s="259"/>
    </row>
    <row r="367" spans="1:1">
      <c r="A367" s="259"/>
    </row>
    <row r="368" spans="1:1">
      <c r="A368" s="259"/>
    </row>
    <row r="369" spans="1:1">
      <c r="A369" s="259"/>
    </row>
    <row r="370" spans="1:1">
      <c r="A370" s="259"/>
    </row>
    <row r="371" spans="1:1">
      <c r="A371" s="259"/>
    </row>
    <row r="372" spans="1:1">
      <c r="A372" s="259"/>
    </row>
    <row r="373" spans="1:1">
      <c r="A373" s="259"/>
    </row>
    <row r="374" spans="1:1">
      <c r="A374" s="259"/>
    </row>
    <row r="375" spans="1:1">
      <c r="A375" s="259"/>
    </row>
    <row r="376" spans="1:1">
      <c r="A376" s="259"/>
    </row>
    <row r="377" spans="1:1">
      <c r="A377" s="259"/>
    </row>
    <row r="378" spans="1:1">
      <c r="A378" s="259"/>
    </row>
    <row r="379" spans="1:1">
      <c r="A379" s="259"/>
    </row>
    <row r="380" spans="1:1">
      <c r="A380" s="259"/>
    </row>
    <row r="381" spans="1:1">
      <c r="A381" s="259"/>
    </row>
    <row r="382" spans="1:1">
      <c r="A382" s="259"/>
    </row>
    <row r="383" spans="1:1">
      <c r="A383" s="259"/>
    </row>
    <row r="384" spans="1:1">
      <c r="A384" s="259"/>
    </row>
    <row r="385" spans="1:1">
      <c r="A385" s="259"/>
    </row>
    <row r="386" spans="1:1">
      <c r="A386" s="259"/>
    </row>
    <row r="387" spans="1:1">
      <c r="A387" s="259"/>
    </row>
    <row r="388" spans="1:1">
      <c r="A388" s="259"/>
    </row>
    <row r="389" spans="1:1">
      <c r="A389" s="259"/>
    </row>
    <row r="390" spans="1:1">
      <c r="A390" s="259"/>
    </row>
    <row r="391" spans="1:1">
      <c r="A391" s="259"/>
    </row>
    <row r="392" spans="1:1">
      <c r="A392" s="259"/>
    </row>
    <row r="393" spans="1:1">
      <c r="A393" s="259"/>
    </row>
    <row r="394" spans="1:1">
      <c r="A394" s="259"/>
    </row>
    <row r="395" spans="1:1">
      <c r="A395" s="259"/>
    </row>
    <row r="396" spans="1:1">
      <c r="A396" s="259"/>
    </row>
    <row r="397" spans="1:1">
      <c r="A397" s="259"/>
    </row>
    <row r="398" spans="1:1">
      <c r="A398" s="259"/>
    </row>
    <row r="399" spans="1:1">
      <c r="A399" s="259"/>
    </row>
    <row r="400" spans="1:1">
      <c r="A400" s="259"/>
    </row>
    <row r="401" spans="1:1">
      <c r="A401" s="259"/>
    </row>
    <row r="402" spans="1:1">
      <c r="A402" s="259"/>
    </row>
    <row r="403" spans="1:1">
      <c r="A403" s="259"/>
    </row>
    <row r="404" spans="1:1">
      <c r="A404" s="259"/>
    </row>
    <row r="405" spans="1:1">
      <c r="A405" s="259"/>
    </row>
    <row r="406" spans="1:1">
      <c r="A406" s="259"/>
    </row>
    <row r="407" spans="1:1">
      <c r="A407" s="259"/>
    </row>
    <row r="408" spans="1:1">
      <c r="A408" s="259"/>
    </row>
    <row r="409" spans="1:1">
      <c r="A409" s="259"/>
    </row>
    <row r="410" spans="1:1">
      <c r="A410" s="259"/>
    </row>
    <row r="411" spans="1:1">
      <c r="A411" s="259"/>
    </row>
    <row r="412" spans="1:1">
      <c r="A412" s="259"/>
    </row>
    <row r="413" spans="1:1">
      <c r="A413" s="259"/>
    </row>
    <row r="414" spans="1:1">
      <c r="A414" s="259"/>
    </row>
    <row r="415" spans="1:1">
      <c r="A415" s="259"/>
    </row>
    <row r="416" spans="1:1">
      <c r="A416" s="259"/>
    </row>
    <row r="417" spans="1:1">
      <c r="A417" s="259"/>
    </row>
    <row r="418" spans="1:1">
      <c r="A418" s="259"/>
    </row>
  </sheetData>
  <mergeCells count="5">
    <mergeCell ref="A2:F2"/>
    <mergeCell ref="C195:D195"/>
    <mergeCell ref="F195:G195"/>
    <mergeCell ref="C196:D196"/>
    <mergeCell ref="F196:G196"/>
  </mergeCells>
  <pageMargins left="0.59055118110236227" right="0.59055118110236227" top="0.78740157480314965" bottom="0.39370078740157483" header="0.31496062992125984" footer="0.31496062992125984"/>
  <pageSetup paperSize="9" scale="8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1:G433"/>
  <sheetViews>
    <sheetView view="pageBreakPreview" topLeftCell="A112" zoomScale="89" zoomScaleSheetLayoutView="89" workbookViewId="0">
      <selection activeCell="A49" sqref="A49"/>
    </sheetView>
  </sheetViews>
  <sheetFormatPr defaultColWidth="9.140625" defaultRowHeight="18.75"/>
  <cols>
    <col min="1" max="1" width="60.28515625" style="18" customWidth="1"/>
    <col min="2" max="2" width="12" style="168" customWidth="1"/>
    <col min="3" max="3" width="16.140625" style="168" customWidth="1"/>
    <col min="4" max="4" width="16.7109375" style="168" customWidth="1"/>
    <col min="5" max="5" width="16.140625" style="168" customWidth="1"/>
    <col min="6" max="6" width="16" style="168" customWidth="1"/>
    <col min="7" max="7" width="16.42578125" style="18" customWidth="1"/>
    <col min="8" max="16384" width="9.140625" style="18"/>
  </cols>
  <sheetData>
    <row r="1" spans="1:7" ht="27.75" customHeight="1">
      <c r="A1" s="403" t="s">
        <v>100</v>
      </c>
      <c r="B1" s="403"/>
      <c r="C1" s="403"/>
      <c r="D1" s="403"/>
      <c r="E1" s="403"/>
      <c r="F1" s="403"/>
    </row>
    <row r="2" spans="1:7" ht="19.5" customHeight="1">
      <c r="A2" s="61"/>
      <c r="B2" s="167"/>
      <c r="C2" s="61"/>
      <c r="D2" s="61"/>
      <c r="E2" s="61"/>
      <c r="F2" s="167"/>
      <c r="G2" s="105" t="s">
        <v>64</v>
      </c>
    </row>
    <row r="3" spans="1:7" ht="64.5" customHeight="1">
      <c r="A3" s="46" t="s">
        <v>24</v>
      </c>
      <c r="B3" s="47" t="s">
        <v>5</v>
      </c>
      <c r="C3" s="47" t="str">
        <f>'Розшифровка 2 до формування'!D4</f>
        <v>Факт                   минулого   2020 року</v>
      </c>
      <c r="D3" s="47" t="str">
        <f>'Розшифровка 2 до формування'!E4</f>
        <v>Фінансовий план 
за 2021 рік</v>
      </c>
      <c r="E3" s="47" t="str">
        <f>'Розшифровка 2 до формування'!F4</f>
        <v xml:space="preserve">Факт 2021 року </v>
      </c>
      <c r="F3" s="336" t="s">
        <v>113</v>
      </c>
      <c r="G3" s="47" t="s">
        <v>114</v>
      </c>
    </row>
    <row r="4" spans="1:7" ht="18" customHeight="1">
      <c r="A4" s="46">
        <v>1</v>
      </c>
      <c r="B4" s="47">
        <v>2</v>
      </c>
      <c r="C4" s="47">
        <v>3</v>
      </c>
      <c r="D4" s="47">
        <v>4</v>
      </c>
      <c r="E4" s="47">
        <v>5</v>
      </c>
      <c r="F4" s="47">
        <v>6</v>
      </c>
      <c r="G4" s="46">
        <v>7</v>
      </c>
    </row>
    <row r="5" spans="1:7" ht="37.5" customHeight="1">
      <c r="A5" s="71" t="s">
        <v>14</v>
      </c>
      <c r="B5" s="64">
        <v>4000</v>
      </c>
      <c r="C5" s="15">
        <f>C6+C73+C203+C206</f>
        <v>18145.099999999999</v>
      </c>
      <c r="D5" s="15">
        <f>D6+D73+D203+D206</f>
        <v>136.1</v>
      </c>
      <c r="E5" s="15">
        <f>E6+E73+E203+E206</f>
        <v>1776.9999999999998</v>
      </c>
      <c r="F5" s="15">
        <f t="shared" ref="F5:F68" si="0">E5-D5</f>
        <v>1640.8999999999999</v>
      </c>
      <c r="G5" s="106">
        <f t="shared" ref="G5:G68" si="1">(E5-D5)*100</f>
        <v>164090</v>
      </c>
    </row>
    <row r="6" spans="1:7" ht="27.75" customHeight="1">
      <c r="A6" s="135" t="s">
        <v>0</v>
      </c>
      <c r="B6" s="69">
        <v>4020</v>
      </c>
      <c r="C6" s="107">
        <f>SUM(C7:C64)</f>
        <v>6122.8</v>
      </c>
      <c r="D6" s="107">
        <f>SUM(D7:D64)</f>
        <v>136.1</v>
      </c>
      <c r="E6" s="107">
        <f>SUM(E7:E72)</f>
        <v>926.99999999999989</v>
      </c>
      <c r="F6" s="107">
        <f t="shared" si="0"/>
        <v>790.89999999999986</v>
      </c>
      <c r="G6" s="106">
        <f t="shared" si="1"/>
        <v>79089.999999999985</v>
      </c>
    </row>
    <row r="7" spans="1:7" ht="37.5" customHeight="1">
      <c r="A7" s="108" t="s">
        <v>210</v>
      </c>
      <c r="B7" s="44"/>
      <c r="C7" s="16">
        <v>8.5</v>
      </c>
      <c r="D7" s="19"/>
      <c r="E7" s="19"/>
      <c r="F7" s="107">
        <f t="shared" si="0"/>
        <v>0</v>
      </c>
      <c r="G7" s="106">
        <f t="shared" si="1"/>
        <v>0</v>
      </c>
    </row>
    <row r="8" spans="1:7" ht="41.25" customHeight="1">
      <c r="A8" s="108" t="s">
        <v>211</v>
      </c>
      <c r="B8" s="44"/>
      <c r="C8" s="16">
        <v>10.6</v>
      </c>
      <c r="D8" s="19"/>
      <c r="E8" s="19"/>
      <c r="F8" s="107">
        <f t="shared" si="0"/>
        <v>0</v>
      </c>
      <c r="G8" s="106">
        <f t="shared" si="1"/>
        <v>0</v>
      </c>
    </row>
    <row r="9" spans="1:7" ht="36.75" customHeight="1">
      <c r="A9" s="108" t="s">
        <v>212</v>
      </c>
      <c r="B9" s="44"/>
      <c r="C9" s="16">
        <v>15.8</v>
      </c>
      <c r="D9" s="19"/>
      <c r="E9" s="19"/>
      <c r="F9" s="107">
        <f t="shared" si="0"/>
        <v>0</v>
      </c>
      <c r="G9" s="106">
        <f t="shared" si="1"/>
        <v>0</v>
      </c>
    </row>
    <row r="10" spans="1:7" ht="37.5" customHeight="1">
      <c r="A10" s="108" t="s">
        <v>444</v>
      </c>
      <c r="B10" s="44"/>
      <c r="C10" s="68">
        <v>194.5</v>
      </c>
      <c r="D10" s="19"/>
      <c r="E10" s="19"/>
      <c r="F10" s="107">
        <f t="shared" si="0"/>
        <v>0</v>
      </c>
      <c r="G10" s="106">
        <f t="shared" si="1"/>
        <v>0</v>
      </c>
    </row>
    <row r="11" spans="1:7" ht="31.5" customHeight="1">
      <c r="A11" s="108" t="s">
        <v>213</v>
      </c>
      <c r="B11" s="44"/>
      <c r="C11" s="16">
        <v>49</v>
      </c>
      <c r="D11" s="19"/>
      <c r="E11" s="19"/>
      <c r="F11" s="107">
        <f t="shared" si="0"/>
        <v>0</v>
      </c>
      <c r="G11" s="106">
        <f t="shared" si="1"/>
        <v>0</v>
      </c>
    </row>
    <row r="12" spans="1:7" ht="27.75" customHeight="1">
      <c r="A12" s="108" t="s">
        <v>214</v>
      </c>
      <c r="B12" s="44"/>
      <c r="C12" s="16">
        <v>40.799999999999997</v>
      </c>
      <c r="D12" s="19"/>
      <c r="E12" s="19"/>
      <c r="F12" s="107">
        <f t="shared" si="0"/>
        <v>0</v>
      </c>
      <c r="G12" s="106">
        <f t="shared" si="1"/>
        <v>0</v>
      </c>
    </row>
    <row r="13" spans="1:7" ht="27.75" customHeight="1">
      <c r="A13" s="108" t="s">
        <v>215</v>
      </c>
      <c r="B13" s="44"/>
      <c r="C13" s="16">
        <v>604.70000000000005</v>
      </c>
      <c r="D13" s="19"/>
      <c r="E13" s="19"/>
      <c r="F13" s="107">
        <f t="shared" si="0"/>
        <v>0</v>
      </c>
      <c r="G13" s="106">
        <f t="shared" si="1"/>
        <v>0</v>
      </c>
    </row>
    <row r="14" spans="1:7" ht="35.25" customHeight="1">
      <c r="A14" s="39" t="s">
        <v>216</v>
      </c>
      <c r="B14" s="44"/>
      <c r="C14" s="16">
        <v>189.9</v>
      </c>
      <c r="D14" s="19"/>
      <c r="E14" s="19"/>
      <c r="F14" s="107">
        <f t="shared" si="0"/>
        <v>0</v>
      </c>
      <c r="G14" s="106">
        <f t="shared" si="1"/>
        <v>0</v>
      </c>
    </row>
    <row r="15" spans="1:7" ht="35.25" customHeight="1">
      <c r="A15" s="108" t="s">
        <v>217</v>
      </c>
      <c r="B15" s="44"/>
      <c r="C15" s="16">
        <v>175.7</v>
      </c>
      <c r="D15" s="19"/>
      <c r="E15" s="19"/>
      <c r="F15" s="107">
        <f t="shared" si="0"/>
        <v>0</v>
      </c>
      <c r="G15" s="106">
        <f t="shared" si="1"/>
        <v>0</v>
      </c>
    </row>
    <row r="16" spans="1:7" ht="35.25" customHeight="1">
      <c r="A16" s="108" t="s">
        <v>218</v>
      </c>
      <c r="B16" s="44"/>
      <c r="C16" s="16">
        <f>80.8+80.9</f>
        <v>161.69999999999999</v>
      </c>
      <c r="D16" s="19"/>
      <c r="E16" s="19">
        <v>103.7</v>
      </c>
      <c r="F16" s="107">
        <f t="shared" si="0"/>
        <v>103.7</v>
      </c>
      <c r="G16" s="106">
        <f t="shared" si="1"/>
        <v>10370</v>
      </c>
    </row>
    <row r="17" spans="1:7" ht="36.75" customHeight="1">
      <c r="A17" s="39" t="s">
        <v>219</v>
      </c>
      <c r="B17" s="44"/>
      <c r="C17" s="16">
        <v>67.900000000000006</v>
      </c>
      <c r="D17" s="19"/>
      <c r="E17" s="19"/>
      <c r="F17" s="107">
        <f t="shared" si="0"/>
        <v>0</v>
      </c>
      <c r="G17" s="106">
        <f t="shared" si="1"/>
        <v>0</v>
      </c>
    </row>
    <row r="18" spans="1:7" ht="27.75" customHeight="1">
      <c r="A18" s="39" t="s">
        <v>220</v>
      </c>
      <c r="B18" s="44"/>
      <c r="C18" s="16">
        <v>59.9</v>
      </c>
      <c r="D18" s="19"/>
      <c r="E18" s="19"/>
      <c r="F18" s="107">
        <f t="shared" si="0"/>
        <v>0</v>
      </c>
      <c r="G18" s="106">
        <f t="shared" si="1"/>
        <v>0</v>
      </c>
    </row>
    <row r="19" spans="1:7" ht="37.5" customHeight="1">
      <c r="A19" s="39" t="s">
        <v>221</v>
      </c>
      <c r="B19" s="44"/>
      <c r="C19" s="16">
        <f>118.4+126.6</f>
        <v>245</v>
      </c>
      <c r="D19" s="19"/>
      <c r="E19" s="19"/>
      <c r="F19" s="107">
        <f t="shared" si="0"/>
        <v>0</v>
      </c>
      <c r="G19" s="106">
        <f t="shared" si="1"/>
        <v>0</v>
      </c>
    </row>
    <row r="20" spans="1:7" ht="27.75" customHeight="1">
      <c r="A20" s="39" t="s">
        <v>222</v>
      </c>
      <c r="B20" s="44"/>
      <c r="C20" s="16">
        <v>1348.6</v>
      </c>
      <c r="D20" s="19"/>
      <c r="E20" s="19"/>
      <c r="F20" s="107">
        <f t="shared" si="0"/>
        <v>0</v>
      </c>
      <c r="G20" s="106">
        <f t="shared" si="1"/>
        <v>0</v>
      </c>
    </row>
    <row r="21" spans="1:7" ht="27.75" customHeight="1">
      <c r="A21" s="108" t="s">
        <v>225</v>
      </c>
      <c r="B21" s="44"/>
      <c r="C21" s="16">
        <v>173</v>
      </c>
      <c r="D21" s="19"/>
      <c r="E21" s="19"/>
      <c r="F21" s="107">
        <f t="shared" si="0"/>
        <v>0</v>
      </c>
      <c r="G21" s="106">
        <f t="shared" si="1"/>
        <v>0</v>
      </c>
    </row>
    <row r="22" spans="1:7" ht="27.75" customHeight="1">
      <c r="A22" s="108" t="s">
        <v>226</v>
      </c>
      <c r="B22" s="44"/>
      <c r="C22" s="16">
        <v>36</v>
      </c>
      <c r="D22" s="19"/>
      <c r="E22" s="19"/>
      <c r="F22" s="107">
        <f t="shared" si="0"/>
        <v>0</v>
      </c>
      <c r="G22" s="106">
        <f t="shared" si="1"/>
        <v>0</v>
      </c>
    </row>
    <row r="23" spans="1:7" ht="27.75" customHeight="1">
      <c r="A23" s="108" t="s">
        <v>227</v>
      </c>
      <c r="B23" s="44"/>
      <c r="C23" s="16">
        <v>96</v>
      </c>
      <c r="D23" s="19"/>
      <c r="E23" s="19"/>
      <c r="F23" s="107">
        <f t="shared" si="0"/>
        <v>0</v>
      </c>
      <c r="G23" s="106">
        <f t="shared" si="1"/>
        <v>0</v>
      </c>
    </row>
    <row r="24" spans="1:7" ht="39" customHeight="1">
      <c r="A24" s="162" t="s">
        <v>228</v>
      </c>
      <c r="B24" s="44"/>
      <c r="C24" s="16">
        <v>74.599999999999994</v>
      </c>
      <c r="D24" s="19"/>
      <c r="E24" s="19"/>
      <c r="F24" s="107">
        <f t="shared" si="0"/>
        <v>0</v>
      </c>
      <c r="G24" s="106">
        <f t="shared" si="1"/>
        <v>0</v>
      </c>
    </row>
    <row r="25" spans="1:7" ht="42.75" customHeight="1">
      <c r="A25" s="108" t="s">
        <v>229</v>
      </c>
      <c r="B25" s="44"/>
      <c r="C25" s="16">
        <v>284</v>
      </c>
      <c r="D25" s="19"/>
      <c r="E25" s="19"/>
      <c r="F25" s="107">
        <f t="shared" si="0"/>
        <v>0</v>
      </c>
      <c r="G25" s="106">
        <f t="shared" si="1"/>
        <v>0</v>
      </c>
    </row>
    <row r="26" spans="1:7" ht="27.75" customHeight="1">
      <c r="A26" s="108" t="s">
        <v>230</v>
      </c>
      <c r="B26" s="44"/>
      <c r="C26" s="16">
        <v>7.5</v>
      </c>
      <c r="D26" s="19"/>
      <c r="E26" s="19"/>
      <c r="F26" s="107">
        <f t="shared" si="0"/>
        <v>0</v>
      </c>
      <c r="G26" s="106">
        <f t="shared" si="1"/>
        <v>0</v>
      </c>
    </row>
    <row r="27" spans="1:7" ht="27.75" customHeight="1">
      <c r="A27" s="108" t="s">
        <v>231</v>
      </c>
      <c r="B27" s="44"/>
      <c r="C27" s="16">
        <v>11.8</v>
      </c>
      <c r="D27" s="19"/>
      <c r="E27" s="19"/>
      <c r="F27" s="107">
        <f t="shared" si="0"/>
        <v>0</v>
      </c>
      <c r="G27" s="106">
        <f t="shared" si="1"/>
        <v>0</v>
      </c>
    </row>
    <row r="28" spans="1:7" ht="35.25" customHeight="1">
      <c r="A28" s="108" t="s">
        <v>445</v>
      </c>
      <c r="B28" s="44"/>
      <c r="C28" s="16">
        <v>647</v>
      </c>
      <c r="D28" s="19"/>
      <c r="E28" s="19"/>
      <c r="F28" s="107">
        <f t="shared" si="0"/>
        <v>0</v>
      </c>
      <c r="G28" s="106">
        <f t="shared" si="1"/>
        <v>0</v>
      </c>
    </row>
    <row r="29" spans="1:7" ht="27.75" customHeight="1">
      <c r="A29" s="108" t="s">
        <v>232</v>
      </c>
      <c r="B29" s="44"/>
      <c r="C29" s="16">
        <v>39.5</v>
      </c>
      <c r="D29" s="19"/>
      <c r="E29" s="19"/>
      <c r="F29" s="107">
        <f t="shared" si="0"/>
        <v>0</v>
      </c>
      <c r="G29" s="106">
        <f t="shared" si="1"/>
        <v>0</v>
      </c>
    </row>
    <row r="30" spans="1:7" ht="27.75" customHeight="1">
      <c r="A30" s="108" t="s">
        <v>233</v>
      </c>
      <c r="B30" s="44"/>
      <c r="C30" s="16">
        <v>18.7</v>
      </c>
      <c r="D30" s="19"/>
      <c r="E30" s="19"/>
      <c r="F30" s="107">
        <f t="shared" si="0"/>
        <v>0</v>
      </c>
      <c r="G30" s="106">
        <f t="shared" si="1"/>
        <v>0</v>
      </c>
    </row>
    <row r="31" spans="1:7" ht="27.75" customHeight="1">
      <c r="A31" s="108" t="s">
        <v>446</v>
      </c>
      <c r="B31" s="44"/>
      <c r="C31" s="16">
        <v>15.5</v>
      </c>
      <c r="D31" s="19"/>
      <c r="E31" s="19"/>
      <c r="F31" s="107">
        <f t="shared" si="0"/>
        <v>0</v>
      </c>
      <c r="G31" s="106">
        <f t="shared" si="1"/>
        <v>0</v>
      </c>
    </row>
    <row r="32" spans="1:7" ht="27.75" customHeight="1">
      <c r="A32" s="108" t="s">
        <v>447</v>
      </c>
      <c r="B32" s="44"/>
      <c r="C32" s="16">
        <v>235.2</v>
      </c>
      <c r="D32" s="19"/>
      <c r="E32" s="19"/>
      <c r="F32" s="107">
        <f t="shared" si="0"/>
        <v>0</v>
      </c>
      <c r="G32" s="106">
        <f t="shared" si="1"/>
        <v>0</v>
      </c>
    </row>
    <row r="33" spans="1:7" ht="27.75" customHeight="1">
      <c r="A33" s="39" t="s">
        <v>448</v>
      </c>
      <c r="B33" s="44"/>
      <c r="C33" s="16">
        <v>7.7</v>
      </c>
      <c r="D33" s="19"/>
      <c r="E33" s="19"/>
      <c r="F33" s="107">
        <f t="shared" si="0"/>
        <v>0</v>
      </c>
      <c r="G33" s="106">
        <f t="shared" si="1"/>
        <v>0</v>
      </c>
    </row>
    <row r="34" spans="1:7" ht="27.75" customHeight="1">
      <c r="A34" s="108" t="s">
        <v>449</v>
      </c>
      <c r="B34" s="44"/>
      <c r="C34" s="16">
        <v>16.8</v>
      </c>
      <c r="D34" s="19"/>
      <c r="E34" s="19"/>
      <c r="F34" s="107">
        <f t="shared" si="0"/>
        <v>0</v>
      </c>
      <c r="G34" s="106">
        <f t="shared" si="1"/>
        <v>0</v>
      </c>
    </row>
    <row r="35" spans="1:7" ht="27.75" customHeight="1">
      <c r="A35" s="108" t="s">
        <v>450</v>
      </c>
      <c r="B35" s="44"/>
      <c r="C35" s="16">
        <v>22.3</v>
      </c>
      <c r="D35" s="19"/>
      <c r="E35" s="19"/>
      <c r="F35" s="107">
        <f t="shared" si="0"/>
        <v>0</v>
      </c>
      <c r="G35" s="106">
        <f t="shared" si="1"/>
        <v>0</v>
      </c>
    </row>
    <row r="36" spans="1:7" ht="33.75" customHeight="1">
      <c r="A36" s="108" t="s">
        <v>451</v>
      </c>
      <c r="B36" s="44"/>
      <c r="C36" s="16">
        <v>13.9</v>
      </c>
      <c r="D36" s="19"/>
      <c r="E36" s="19"/>
      <c r="F36" s="107">
        <f t="shared" si="0"/>
        <v>0</v>
      </c>
      <c r="G36" s="106">
        <f t="shared" si="1"/>
        <v>0</v>
      </c>
    </row>
    <row r="37" spans="1:7" ht="27.75" customHeight="1">
      <c r="A37" s="41" t="s">
        <v>452</v>
      </c>
      <c r="B37" s="44"/>
      <c r="C37" s="169">
        <v>209.6</v>
      </c>
      <c r="D37" s="19"/>
      <c r="E37" s="19"/>
      <c r="F37" s="107">
        <f t="shared" si="0"/>
        <v>0</v>
      </c>
      <c r="G37" s="106">
        <f t="shared" si="1"/>
        <v>0</v>
      </c>
    </row>
    <row r="38" spans="1:7" ht="31.5" customHeight="1">
      <c r="A38" s="41" t="s">
        <v>453</v>
      </c>
      <c r="B38" s="44"/>
      <c r="C38" s="169">
        <v>858.9</v>
      </c>
      <c r="D38" s="19"/>
      <c r="E38" s="19"/>
      <c r="F38" s="107">
        <f t="shared" si="0"/>
        <v>0</v>
      </c>
      <c r="G38" s="106">
        <f t="shared" si="1"/>
        <v>0</v>
      </c>
    </row>
    <row r="39" spans="1:7" ht="33.75" customHeight="1">
      <c r="A39" s="41" t="s">
        <v>454</v>
      </c>
      <c r="B39" s="44"/>
      <c r="C39" s="169">
        <v>18.2</v>
      </c>
      <c r="D39" s="19"/>
      <c r="E39" s="19"/>
      <c r="F39" s="107">
        <f t="shared" si="0"/>
        <v>0</v>
      </c>
      <c r="G39" s="106">
        <f t="shared" si="1"/>
        <v>0</v>
      </c>
    </row>
    <row r="40" spans="1:7" ht="27.75" customHeight="1">
      <c r="A40" s="39" t="s">
        <v>223</v>
      </c>
      <c r="B40" s="44"/>
      <c r="C40" s="68">
        <v>20.6</v>
      </c>
      <c r="D40" s="19"/>
      <c r="E40" s="19"/>
      <c r="F40" s="107">
        <f t="shared" si="0"/>
        <v>0</v>
      </c>
      <c r="G40" s="106">
        <f t="shared" si="1"/>
        <v>0</v>
      </c>
    </row>
    <row r="41" spans="1:7" ht="27.75" customHeight="1">
      <c r="A41" s="39" t="s">
        <v>224</v>
      </c>
      <c r="B41" s="44"/>
      <c r="C41" s="68">
        <v>8.3000000000000007</v>
      </c>
      <c r="D41" s="19"/>
      <c r="E41" s="19"/>
      <c r="F41" s="107">
        <f t="shared" si="0"/>
        <v>0</v>
      </c>
      <c r="G41" s="106">
        <f t="shared" si="1"/>
        <v>0</v>
      </c>
    </row>
    <row r="42" spans="1:7" ht="27.75" customHeight="1">
      <c r="A42" s="108" t="s">
        <v>455</v>
      </c>
      <c r="B42" s="44"/>
      <c r="C42" s="16">
        <v>7.2</v>
      </c>
      <c r="D42" s="19"/>
      <c r="E42" s="19"/>
      <c r="F42" s="107">
        <f t="shared" si="0"/>
        <v>0</v>
      </c>
      <c r="G42" s="106">
        <f t="shared" si="1"/>
        <v>0</v>
      </c>
    </row>
    <row r="43" spans="1:7" ht="27.75" customHeight="1">
      <c r="A43" s="108" t="s">
        <v>456</v>
      </c>
      <c r="B43" s="44"/>
      <c r="C43" s="16">
        <v>17.2</v>
      </c>
      <c r="D43" s="19"/>
      <c r="E43" s="19"/>
      <c r="F43" s="107">
        <f t="shared" si="0"/>
        <v>0</v>
      </c>
      <c r="G43" s="106">
        <f t="shared" si="1"/>
        <v>0</v>
      </c>
    </row>
    <row r="44" spans="1:7" ht="27.75" customHeight="1">
      <c r="A44" s="108" t="s">
        <v>457</v>
      </c>
      <c r="B44" s="44"/>
      <c r="C44" s="16">
        <v>16.100000000000001</v>
      </c>
      <c r="D44" s="19"/>
      <c r="E44" s="19"/>
      <c r="F44" s="107">
        <f t="shared" si="0"/>
        <v>0</v>
      </c>
      <c r="G44" s="106">
        <f t="shared" si="1"/>
        <v>0</v>
      </c>
    </row>
    <row r="45" spans="1:7" ht="27.75" customHeight="1">
      <c r="A45" s="108" t="s">
        <v>458</v>
      </c>
      <c r="B45" s="44"/>
      <c r="C45" s="16">
        <v>14.1</v>
      </c>
      <c r="D45" s="19"/>
      <c r="E45" s="19"/>
      <c r="F45" s="107">
        <f t="shared" si="0"/>
        <v>0</v>
      </c>
      <c r="G45" s="106">
        <f t="shared" si="1"/>
        <v>0</v>
      </c>
    </row>
    <row r="46" spans="1:7" ht="39" customHeight="1">
      <c r="A46" s="108" t="s">
        <v>459</v>
      </c>
      <c r="B46" s="44"/>
      <c r="C46" s="16">
        <v>14.9</v>
      </c>
      <c r="D46" s="19"/>
      <c r="E46" s="19"/>
      <c r="F46" s="107">
        <f t="shared" si="0"/>
        <v>0</v>
      </c>
      <c r="G46" s="106">
        <f t="shared" si="1"/>
        <v>0</v>
      </c>
    </row>
    <row r="47" spans="1:7" ht="31.5" customHeight="1">
      <c r="A47" s="108" t="s">
        <v>460</v>
      </c>
      <c r="B47" s="44"/>
      <c r="C47" s="16">
        <v>47.6</v>
      </c>
      <c r="D47" s="19"/>
      <c r="E47" s="19"/>
      <c r="F47" s="107">
        <f t="shared" si="0"/>
        <v>0</v>
      </c>
      <c r="G47" s="106">
        <f t="shared" si="1"/>
        <v>0</v>
      </c>
    </row>
    <row r="48" spans="1:7" ht="27" customHeight="1">
      <c r="A48" s="108" t="s">
        <v>209</v>
      </c>
      <c r="B48" s="47"/>
      <c r="C48" s="16">
        <v>18</v>
      </c>
      <c r="D48" s="16"/>
      <c r="E48" s="16"/>
      <c r="F48" s="16">
        <f t="shared" si="0"/>
        <v>0</v>
      </c>
      <c r="G48" s="109">
        <f t="shared" si="1"/>
        <v>0</v>
      </c>
    </row>
    <row r="49" spans="1:7" ht="69" customHeight="1">
      <c r="A49" s="41" t="s">
        <v>502</v>
      </c>
      <c r="B49" s="47"/>
      <c r="C49" s="16"/>
      <c r="D49" s="16">
        <v>136.1</v>
      </c>
      <c r="E49" s="16"/>
      <c r="F49" s="16">
        <f t="shared" si="0"/>
        <v>-136.1</v>
      </c>
      <c r="G49" s="109">
        <f t="shared" si="1"/>
        <v>-13610</v>
      </c>
    </row>
    <row r="50" spans="1:7" ht="38.25" customHeight="1">
      <c r="A50" s="49" t="s">
        <v>270</v>
      </c>
      <c r="B50" s="47"/>
      <c r="C50" s="16"/>
      <c r="D50" s="16"/>
      <c r="E50" s="16">
        <v>64.400000000000006</v>
      </c>
      <c r="F50" s="16">
        <f t="shared" si="0"/>
        <v>64.400000000000006</v>
      </c>
      <c r="G50" s="109">
        <f t="shared" si="1"/>
        <v>6440.0000000000009</v>
      </c>
    </row>
    <row r="51" spans="1:7" ht="27" customHeight="1">
      <c r="A51" s="49" t="s">
        <v>271</v>
      </c>
      <c r="B51" s="47"/>
      <c r="C51" s="16"/>
      <c r="D51" s="16"/>
      <c r="E51" s="16">
        <v>22</v>
      </c>
      <c r="F51" s="16">
        <f t="shared" si="0"/>
        <v>22</v>
      </c>
      <c r="G51" s="109">
        <f t="shared" si="1"/>
        <v>2200</v>
      </c>
    </row>
    <row r="52" spans="1:7" ht="27" customHeight="1">
      <c r="A52" s="49" t="s">
        <v>272</v>
      </c>
      <c r="B52" s="47"/>
      <c r="C52" s="16"/>
      <c r="D52" s="16"/>
      <c r="E52" s="16">
        <v>6.4</v>
      </c>
      <c r="F52" s="16">
        <f t="shared" si="0"/>
        <v>6.4</v>
      </c>
      <c r="G52" s="109">
        <f t="shared" si="1"/>
        <v>640</v>
      </c>
    </row>
    <row r="53" spans="1:7" ht="27" customHeight="1">
      <c r="A53" s="49" t="s">
        <v>273</v>
      </c>
      <c r="B53" s="47"/>
      <c r="C53" s="16"/>
      <c r="D53" s="16"/>
      <c r="E53" s="16">
        <v>7.2</v>
      </c>
      <c r="F53" s="16">
        <f t="shared" si="0"/>
        <v>7.2</v>
      </c>
      <c r="G53" s="109">
        <f t="shared" si="1"/>
        <v>720</v>
      </c>
    </row>
    <row r="54" spans="1:7" ht="27" customHeight="1">
      <c r="A54" s="49" t="s">
        <v>274</v>
      </c>
      <c r="B54" s="47"/>
      <c r="C54" s="16"/>
      <c r="D54" s="16"/>
      <c r="E54" s="16">
        <v>8.1</v>
      </c>
      <c r="F54" s="16">
        <f t="shared" si="0"/>
        <v>8.1</v>
      </c>
      <c r="G54" s="109">
        <f t="shared" si="1"/>
        <v>810</v>
      </c>
    </row>
    <row r="55" spans="1:7" ht="27" customHeight="1">
      <c r="A55" s="49" t="s">
        <v>275</v>
      </c>
      <c r="B55" s="47"/>
      <c r="C55" s="16"/>
      <c r="D55" s="16"/>
      <c r="E55" s="16">
        <v>78.7</v>
      </c>
      <c r="F55" s="16">
        <f t="shared" si="0"/>
        <v>78.7</v>
      </c>
      <c r="G55" s="109">
        <f t="shared" si="1"/>
        <v>7870</v>
      </c>
    </row>
    <row r="56" spans="1:7" ht="36.75" customHeight="1">
      <c r="A56" s="49" t="s">
        <v>276</v>
      </c>
      <c r="B56" s="47"/>
      <c r="C56" s="16"/>
      <c r="D56" s="16"/>
      <c r="E56" s="16">
        <v>16.600000000000001</v>
      </c>
      <c r="F56" s="16">
        <f t="shared" si="0"/>
        <v>16.600000000000001</v>
      </c>
      <c r="G56" s="109">
        <f t="shared" si="1"/>
        <v>1660.0000000000002</v>
      </c>
    </row>
    <row r="57" spans="1:7" ht="27" customHeight="1">
      <c r="A57" s="49" t="s">
        <v>277</v>
      </c>
      <c r="B57" s="47"/>
      <c r="C57" s="16"/>
      <c r="D57" s="16"/>
      <c r="E57" s="16">
        <v>6</v>
      </c>
      <c r="F57" s="16">
        <f t="shared" si="0"/>
        <v>6</v>
      </c>
      <c r="G57" s="109">
        <f t="shared" si="1"/>
        <v>600</v>
      </c>
    </row>
    <row r="58" spans="1:7" ht="27" customHeight="1">
      <c r="A58" s="49" t="s">
        <v>278</v>
      </c>
      <c r="B58" s="47"/>
      <c r="C58" s="16"/>
      <c r="D58" s="16"/>
      <c r="E58" s="16">
        <v>26.2</v>
      </c>
      <c r="F58" s="16">
        <f t="shared" si="0"/>
        <v>26.2</v>
      </c>
      <c r="G58" s="109">
        <f t="shared" si="1"/>
        <v>2620</v>
      </c>
    </row>
    <row r="59" spans="1:7" ht="22.5" customHeight="1">
      <c r="A59" s="49" t="s">
        <v>279</v>
      </c>
      <c r="B59" s="47"/>
      <c r="C59" s="16"/>
      <c r="D59" s="16"/>
      <c r="E59" s="16">
        <f>260+42.8</f>
        <v>302.8</v>
      </c>
      <c r="F59" s="16">
        <f t="shared" si="0"/>
        <v>302.8</v>
      </c>
      <c r="G59" s="109">
        <f t="shared" si="1"/>
        <v>30280</v>
      </c>
    </row>
    <row r="60" spans="1:7" ht="30.75" customHeight="1">
      <c r="A60" s="49" t="s">
        <v>280</v>
      </c>
      <c r="B60" s="47"/>
      <c r="C60" s="16"/>
      <c r="D60" s="16"/>
      <c r="E60" s="16">
        <v>28.2</v>
      </c>
      <c r="F60" s="16">
        <f t="shared" si="0"/>
        <v>28.2</v>
      </c>
      <c r="G60" s="109">
        <f t="shared" si="1"/>
        <v>2820</v>
      </c>
    </row>
    <row r="61" spans="1:7" ht="27" customHeight="1">
      <c r="A61" s="49" t="s">
        <v>281</v>
      </c>
      <c r="B61" s="47"/>
      <c r="C61" s="16"/>
      <c r="D61" s="16"/>
      <c r="E61" s="16">
        <v>17.899999999999999</v>
      </c>
      <c r="F61" s="16">
        <f t="shared" si="0"/>
        <v>17.899999999999999</v>
      </c>
      <c r="G61" s="109">
        <f t="shared" si="1"/>
        <v>1789.9999999999998</v>
      </c>
    </row>
    <row r="62" spans="1:7" ht="27" customHeight="1">
      <c r="A62" s="49" t="s">
        <v>282</v>
      </c>
      <c r="B62" s="47"/>
      <c r="C62" s="16"/>
      <c r="D62" s="16"/>
      <c r="E62" s="16">
        <v>7.5</v>
      </c>
      <c r="F62" s="16">
        <f t="shared" si="0"/>
        <v>7.5</v>
      </c>
      <c r="G62" s="109">
        <f t="shared" si="1"/>
        <v>750</v>
      </c>
    </row>
    <row r="63" spans="1:7" ht="27" customHeight="1">
      <c r="A63" s="49" t="s">
        <v>283</v>
      </c>
      <c r="B63" s="47"/>
      <c r="C63" s="16"/>
      <c r="D63" s="16"/>
      <c r="E63" s="16">
        <v>13.6</v>
      </c>
      <c r="F63" s="16">
        <f t="shared" si="0"/>
        <v>13.6</v>
      </c>
      <c r="G63" s="109">
        <f t="shared" si="1"/>
        <v>1360</v>
      </c>
    </row>
    <row r="64" spans="1:7" ht="27" customHeight="1">
      <c r="A64" s="49" t="s">
        <v>284</v>
      </c>
      <c r="B64" s="47"/>
      <c r="C64" s="16"/>
      <c r="D64" s="16"/>
      <c r="E64" s="16">
        <v>58.5</v>
      </c>
      <c r="F64" s="16">
        <f t="shared" si="0"/>
        <v>58.5</v>
      </c>
      <c r="G64" s="109">
        <f t="shared" si="1"/>
        <v>5850</v>
      </c>
    </row>
    <row r="65" spans="1:7" ht="27" customHeight="1">
      <c r="A65" s="49" t="s">
        <v>503</v>
      </c>
      <c r="B65" s="47"/>
      <c r="C65" s="16"/>
      <c r="D65" s="16"/>
      <c r="E65" s="16">
        <v>33</v>
      </c>
      <c r="F65" s="16">
        <f t="shared" si="0"/>
        <v>33</v>
      </c>
      <c r="G65" s="109">
        <f t="shared" si="1"/>
        <v>3300</v>
      </c>
    </row>
    <row r="66" spans="1:7" ht="27" customHeight="1">
      <c r="A66" s="49" t="s">
        <v>504</v>
      </c>
      <c r="B66" s="47"/>
      <c r="C66" s="16"/>
      <c r="D66" s="16"/>
      <c r="E66" s="16">
        <v>12.4</v>
      </c>
      <c r="F66" s="16">
        <f t="shared" si="0"/>
        <v>12.4</v>
      </c>
      <c r="G66" s="109">
        <f t="shared" si="1"/>
        <v>1240</v>
      </c>
    </row>
    <row r="67" spans="1:7" ht="27" customHeight="1">
      <c r="A67" s="49" t="s">
        <v>571</v>
      </c>
      <c r="B67" s="47"/>
      <c r="C67" s="16"/>
      <c r="D67" s="16"/>
      <c r="E67" s="16">
        <v>7.5</v>
      </c>
      <c r="F67" s="16">
        <f t="shared" si="0"/>
        <v>7.5</v>
      </c>
      <c r="G67" s="109">
        <f t="shared" si="1"/>
        <v>750</v>
      </c>
    </row>
    <row r="68" spans="1:7" ht="27" customHeight="1">
      <c r="A68" s="49" t="s">
        <v>572</v>
      </c>
      <c r="B68" s="47"/>
      <c r="C68" s="16"/>
      <c r="D68" s="16"/>
      <c r="E68" s="16">
        <v>7.8</v>
      </c>
      <c r="F68" s="16">
        <f t="shared" si="0"/>
        <v>7.8</v>
      </c>
      <c r="G68" s="109">
        <f t="shared" si="1"/>
        <v>780</v>
      </c>
    </row>
    <row r="69" spans="1:7" ht="27" customHeight="1">
      <c r="A69" s="49" t="s">
        <v>572</v>
      </c>
      <c r="B69" s="47"/>
      <c r="C69" s="16"/>
      <c r="D69" s="16"/>
      <c r="E69" s="16">
        <v>0.4</v>
      </c>
      <c r="F69" s="16">
        <f t="shared" ref="F69:F132" si="2">E69-D69</f>
        <v>0.4</v>
      </c>
      <c r="G69" s="109">
        <f t="shared" ref="G69:G132" si="3">(E69-D69)*100</f>
        <v>40</v>
      </c>
    </row>
    <row r="70" spans="1:7" ht="27" customHeight="1">
      <c r="A70" s="49" t="s">
        <v>573</v>
      </c>
      <c r="B70" s="47"/>
      <c r="C70" s="16"/>
      <c r="D70" s="16"/>
      <c r="E70" s="16">
        <v>7.8</v>
      </c>
      <c r="F70" s="16">
        <f t="shared" si="2"/>
        <v>7.8</v>
      </c>
      <c r="G70" s="109">
        <f t="shared" si="3"/>
        <v>780</v>
      </c>
    </row>
    <row r="71" spans="1:7" ht="27" customHeight="1">
      <c r="A71" s="49" t="s">
        <v>573</v>
      </c>
      <c r="B71" s="47"/>
      <c r="C71" s="16"/>
      <c r="D71" s="16"/>
      <c r="E71" s="16">
        <v>0.8</v>
      </c>
      <c r="F71" s="16">
        <f t="shared" si="2"/>
        <v>0.8</v>
      </c>
      <c r="G71" s="109">
        <f t="shared" si="3"/>
        <v>80</v>
      </c>
    </row>
    <row r="72" spans="1:7" ht="27" customHeight="1">
      <c r="A72" s="49" t="s">
        <v>574</v>
      </c>
      <c r="B72" s="47"/>
      <c r="C72" s="16"/>
      <c r="D72" s="16"/>
      <c r="E72" s="16">
        <v>89.5</v>
      </c>
      <c r="F72" s="16">
        <f t="shared" si="2"/>
        <v>89.5</v>
      </c>
      <c r="G72" s="109">
        <f t="shared" si="3"/>
        <v>8950</v>
      </c>
    </row>
    <row r="73" spans="1:7" s="75" customFormat="1" ht="38.25" customHeight="1">
      <c r="A73" s="135" t="s">
        <v>7</v>
      </c>
      <c r="B73" s="335">
        <v>4030</v>
      </c>
      <c r="C73" s="107">
        <f>SUM(C74:C146)</f>
        <v>988.69999999999959</v>
      </c>
      <c r="D73" s="107">
        <f>SUM(D74:D108)</f>
        <v>0</v>
      </c>
      <c r="E73" s="107">
        <f>SUM(E74:E202)</f>
        <v>297.7</v>
      </c>
      <c r="F73" s="107">
        <f t="shared" si="2"/>
        <v>297.7</v>
      </c>
      <c r="G73" s="106">
        <f t="shared" si="3"/>
        <v>29770</v>
      </c>
    </row>
    <row r="74" spans="1:7" s="75" customFormat="1" ht="75" customHeight="1">
      <c r="A74" s="41" t="s">
        <v>234</v>
      </c>
      <c r="B74" s="110"/>
      <c r="C74" s="19">
        <v>258.8</v>
      </c>
      <c r="D74" s="19"/>
      <c r="E74" s="19"/>
      <c r="F74" s="107">
        <f t="shared" si="2"/>
        <v>0</v>
      </c>
      <c r="G74" s="106">
        <f t="shared" si="3"/>
        <v>0</v>
      </c>
    </row>
    <row r="75" spans="1:7" s="75" customFormat="1" ht="38.25" customHeight="1">
      <c r="A75" s="39" t="s">
        <v>238</v>
      </c>
      <c r="B75" s="110"/>
      <c r="C75" s="16">
        <v>6.6</v>
      </c>
      <c r="D75" s="19"/>
      <c r="E75" s="19"/>
      <c r="F75" s="107">
        <f t="shared" si="2"/>
        <v>0</v>
      </c>
      <c r="G75" s="106">
        <f t="shared" si="3"/>
        <v>0</v>
      </c>
    </row>
    <row r="76" spans="1:7" s="75" customFormat="1" ht="38.25" customHeight="1">
      <c r="A76" s="39" t="s">
        <v>239</v>
      </c>
      <c r="B76" s="110"/>
      <c r="C76" s="16">
        <v>4.4000000000000004</v>
      </c>
      <c r="D76" s="19"/>
      <c r="E76" s="19"/>
      <c r="F76" s="107">
        <f t="shared" si="2"/>
        <v>0</v>
      </c>
      <c r="G76" s="106">
        <f t="shared" si="3"/>
        <v>0</v>
      </c>
    </row>
    <row r="77" spans="1:7" s="75" customFormat="1" ht="38.25" customHeight="1">
      <c r="A77" s="39" t="s">
        <v>240</v>
      </c>
      <c r="B77" s="110"/>
      <c r="C77" s="16">
        <v>4.2</v>
      </c>
      <c r="D77" s="19"/>
      <c r="E77" s="19"/>
      <c r="F77" s="107">
        <f t="shared" si="2"/>
        <v>0</v>
      </c>
      <c r="G77" s="106">
        <f t="shared" si="3"/>
        <v>0</v>
      </c>
    </row>
    <row r="78" spans="1:7" s="75" customFormat="1" ht="38.25" customHeight="1">
      <c r="A78" s="39" t="s">
        <v>241</v>
      </c>
      <c r="B78" s="110"/>
      <c r="C78" s="16">
        <v>12.4</v>
      </c>
      <c r="D78" s="19"/>
      <c r="E78" s="19"/>
      <c r="F78" s="107">
        <f t="shared" si="2"/>
        <v>0</v>
      </c>
      <c r="G78" s="106">
        <f t="shared" si="3"/>
        <v>0</v>
      </c>
    </row>
    <row r="79" spans="1:7" s="75" customFormat="1" ht="38.25" customHeight="1">
      <c r="A79" s="39" t="s">
        <v>242</v>
      </c>
      <c r="B79" s="110"/>
      <c r="C79" s="16">
        <v>2</v>
      </c>
      <c r="D79" s="19"/>
      <c r="E79" s="19"/>
      <c r="F79" s="107">
        <f t="shared" si="2"/>
        <v>0</v>
      </c>
      <c r="G79" s="106">
        <f t="shared" si="3"/>
        <v>0</v>
      </c>
    </row>
    <row r="80" spans="1:7" s="75" customFormat="1" ht="38.25" customHeight="1">
      <c r="A80" s="39" t="s">
        <v>243</v>
      </c>
      <c r="B80" s="110"/>
      <c r="C80" s="16">
        <v>37.299999999999997</v>
      </c>
      <c r="D80" s="19"/>
      <c r="E80" s="19"/>
      <c r="F80" s="107">
        <f t="shared" si="2"/>
        <v>0</v>
      </c>
      <c r="G80" s="106">
        <f t="shared" si="3"/>
        <v>0</v>
      </c>
    </row>
    <row r="81" spans="1:7" s="75" customFormat="1" ht="38.25" customHeight="1">
      <c r="A81" s="39" t="s">
        <v>244</v>
      </c>
      <c r="B81" s="110"/>
      <c r="C81" s="16">
        <v>7.7</v>
      </c>
      <c r="D81" s="19"/>
      <c r="E81" s="19"/>
      <c r="F81" s="107">
        <f t="shared" si="2"/>
        <v>0</v>
      </c>
      <c r="G81" s="106">
        <f t="shared" si="3"/>
        <v>0</v>
      </c>
    </row>
    <row r="82" spans="1:7" s="75" customFormat="1" ht="38.25" customHeight="1">
      <c r="A82" s="39" t="s">
        <v>245</v>
      </c>
      <c r="B82" s="110"/>
      <c r="C82" s="16">
        <v>1.1000000000000001</v>
      </c>
      <c r="D82" s="19"/>
      <c r="E82" s="19"/>
      <c r="F82" s="107">
        <f t="shared" si="2"/>
        <v>0</v>
      </c>
      <c r="G82" s="106">
        <f t="shared" si="3"/>
        <v>0</v>
      </c>
    </row>
    <row r="83" spans="1:7" s="75" customFormat="1" ht="38.25" customHeight="1">
      <c r="A83" s="39" t="s">
        <v>246</v>
      </c>
      <c r="B83" s="110"/>
      <c r="C83" s="16">
        <v>0.6</v>
      </c>
      <c r="D83" s="19"/>
      <c r="E83" s="19"/>
      <c r="F83" s="107">
        <f t="shared" si="2"/>
        <v>0</v>
      </c>
      <c r="G83" s="106">
        <f t="shared" si="3"/>
        <v>0</v>
      </c>
    </row>
    <row r="84" spans="1:7" s="75" customFormat="1" ht="38.25" customHeight="1">
      <c r="A84" s="41" t="s">
        <v>248</v>
      </c>
      <c r="B84" s="110"/>
      <c r="C84" s="86">
        <v>4.2</v>
      </c>
      <c r="D84" s="19"/>
      <c r="E84" s="19"/>
      <c r="F84" s="107">
        <f t="shared" si="2"/>
        <v>0</v>
      </c>
      <c r="G84" s="106">
        <f t="shared" si="3"/>
        <v>0</v>
      </c>
    </row>
    <row r="85" spans="1:7" s="75" customFormat="1" ht="38.25" customHeight="1">
      <c r="A85" s="170" t="s">
        <v>251</v>
      </c>
      <c r="B85" s="110"/>
      <c r="C85" s="16">
        <v>15.5</v>
      </c>
      <c r="D85" s="19"/>
      <c r="E85" s="19"/>
      <c r="F85" s="107">
        <f t="shared" si="2"/>
        <v>0</v>
      </c>
      <c r="G85" s="106">
        <f t="shared" si="3"/>
        <v>0</v>
      </c>
    </row>
    <row r="86" spans="1:7" s="75" customFormat="1" ht="38.25" customHeight="1">
      <c r="A86" s="39" t="s">
        <v>252</v>
      </c>
      <c r="B86" s="110"/>
      <c r="C86" s="16">
        <v>7.9</v>
      </c>
      <c r="D86" s="19"/>
      <c r="E86" s="19"/>
      <c r="F86" s="107">
        <f t="shared" si="2"/>
        <v>0</v>
      </c>
      <c r="G86" s="106">
        <f t="shared" si="3"/>
        <v>0</v>
      </c>
    </row>
    <row r="87" spans="1:7" s="75" customFormat="1" ht="38.25" customHeight="1">
      <c r="A87" s="39" t="s">
        <v>253</v>
      </c>
      <c r="B87" s="110"/>
      <c r="C87" s="16">
        <v>1.1000000000000001</v>
      </c>
      <c r="D87" s="19"/>
      <c r="E87" s="19"/>
      <c r="F87" s="107">
        <f t="shared" si="2"/>
        <v>0</v>
      </c>
      <c r="G87" s="106">
        <f t="shared" si="3"/>
        <v>0</v>
      </c>
    </row>
    <row r="88" spans="1:7" s="75" customFormat="1" ht="38.25" customHeight="1">
      <c r="A88" s="39" t="s">
        <v>254</v>
      </c>
      <c r="B88" s="110"/>
      <c r="C88" s="16">
        <v>5</v>
      </c>
      <c r="D88" s="19"/>
      <c r="E88" s="19"/>
      <c r="F88" s="107">
        <f t="shared" si="2"/>
        <v>0</v>
      </c>
      <c r="G88" s="106">
        <f t="shared" si="3"/>
        <v>0</v>
      </c>
    </row>
    <row r="89" spans="1:7" s="75" customFormat="1" ht="38.25" customHeight="1">
      <c r="A89" s="39" t="s">
        <v>255</v>
      </c>
      <c r="B89" s="110"/>
      <c r="C89" s="16">
        <v>49.9</v>
      </c>
      <c r="D89" s="19"/>
      <c r="E89" s="19"/>
      <c r="F89" s="107">
        <f t="shared" si="2"/>
        <v>0</v>
      </c>
      <c r="G89" s="106">
        <f t="shared" si="3"/>
        <v>0</v>
      </c>
    </row>
    <row r="90" spans="1:7" s="75" customFormat="1" ht="38.25" customHeight="1">
      <c r="A90" s="39" t="s">
        <v>263</v>
      </c>
      <c r="B90" s="110"/>
      <c r="C90" s="16">
        <v>1.4</v>
      </c>
      <c r="D90" s="19"/>
      <c r="E90" s="19"/>
      <c r="F90" s="107">
        <f t="shared" si="2"/>
        <v>0</v>
      </c>
      <c r="G90" s="106">
        <f t="shared" si="3"/>
        <v>0</v>
      </c>
    </row>
    <row r="91" spans="1:7" s="75" customFormat="1" ht="38.25" customHeight="1">
      <c r="A91" s="39" t="s">
        <v>264</v>
      </c>
      <c r="B91" s="110"/>
      <c r="C91" s="16">
        <v>2.4</v>
      </c>
      <c r="D91" s="19"/>
      <c r="E91" s="19"/>
      <c r="F91" s="107">
        <f t="shared" si="2"/>
        <v>0</v>
      </c>
      <c r="G91" s="106">
        <f t="shared" si="3"/>
        <v>0</v>
      </c>
    </row>
    <row r="92" spans="1:7" s="75" customFormat="1" ht="38.25" customHeight="1">
      <c r="A92" s="39" t="s">
        <v>461</v>
      </c>
      <c r="B92" s="110"/>
      <c r="C92" s="16">
        <v>4.5</v>
      </c>
      <c r="D92" s="19"/>
      <c r="E92" s="19"/>
      <c r="F92" s="107">
        <f t="shared" si="2"/>
        <v>0</v>
      </c>
      <c r="G92" s="106">
        <f t="shared" si="3"/>
        <v>0</v>
      </c>
    </row>
    <row r="93" spans="1:7" s="75" customFormat="1" ht="38.25" customHeight="1">
      <c r="A93" s="39" t="s">
        <v>265</v>
      </c>
      <c r="B93" s="110"/>
      <c r="C93" s="16">
        <v>5.2</v>
      </c>
      <c r="D93" s="19"/>
      <c r="E93" s="19"/>
      <c r="F93" s="107">
        <f t="shared" si="2"/>
        <v>0</v>
      </c>
      <c r="G93" s="106">
        <f t="shared" si="3"/>
        <v>0</v>
      </c>
    </row>
    <row r="94" spans="1:7" s="75" customFormat="1" ht="38.25" customHeight="1">
      <c r="A94" s="39" t="s">
        <v>266</v>
      </c>
      <c r="B94" s="110"/>
      <c r="C94" s="16">
        <v>12</v>
      </c>
      <c r="D94" s="19"/>
      <c r="E94" s="19"/>
      <c r="F94" s="107">
        <f t="shared" si="2"/>
        <v>0</v>
      </c>
      <c r="G94" s="106">
        <f t="shared" si="3"/>
        <v>0</v>
      </c>
    </row>
    <row r="95" spans="1:7" s="75" customFormat="1" ht="38.25" customHeight="1">
      <c r="A95" s="39" t="s">
        <v>267</v>
      </c>
      <c r="B95" s="110"/>
      <c r="C95" s="16">
        <v>2.9</v>
      </c>
      <c r="D95" s="19"/>
      <c r="E95" s="19"/>
      <c r="F95" s="107">
        <f t="shared" si="2"/>
        <v>0</v>
      </c>
      <c r="G95" s="106">
        <f t="shared" si="3"/>
        <v>0</v>
      </c>
    </row>
    <row r="96" spans="1:7" s="75" customFormat="1" ht="38.25" customHeight="1">
      <c r="A96" s="50" t="s">
        <v>462</v>
      </c>
      <c r="B96" s="110"/>
      <c r="C96" s="16">
        <v>4.2</v>
      </c>
      <c r="D96" s="19"/>
      <c r="E96" s="19"/>
      <c r="F96" s="107">
        <f t="shared" si="2"/>
        <v>0</v>
      </c>
      <c r="G96" s="106">
        <f t="shared" si="3"/>
        <v>0</v>
      </c>
    </row>
    <row r="97" spans="1:7" s="75" customFormat="1" ht="38.25" customHeight="1">
      <c r="A97" s="108" t="s">
        <v>463</v>
      </c>
      <c r="B97" s="110"/>
      <c r="C97" s="16">
        <v>0.5</v>
      </c>
      <c r="D97" s="19"/>
      <c r="E97" s="19"/>
      <c r="F97" s="107">
        <f t="shared" si="2"/>
        <v>0</v>
      </c>
      <c r="G97" s="106">
        <f t="shared" si="3"/>
        <v>0</v>
      </c>
    </row>
    <row r="98" spans="1:7" s="75" customFormat="1" ht="38.25" customHeight="1">
      <c r="A98" s="39" t="s">
        <v>464</v>
      </c>
      <c r="B98" s="110"/>
      <c r="C98" s="16">
        <f>13.9+10.7</f>
        <v>24.6</v>
      </c>
      <c r="D98" s="19"/>
      <c r="E98" s="19"/>
      <c r="F98" s="107">
        <f t="shared" si="2"/>
        <v>0</v>
      </c>
      <c r="G98" s="106">
        <f t="shared" si="3"/>
        <v>0</v>
      </c>
    </row>
    <row r="99" spans="1:7" s="75" customFormat="1" ht="38.25" customHeight="1">
      <c r="A99" s="39" t="s">
        <v>465</v>
      </c>
      <c r="B99" s="110"/>
      <c r="C99" s="16">
        <v>18.399999999999999</v>
      </c>
      <c r="D99" s="19"/>
      <c r="E99" s="19"/>
      <c r="F99" s="107">
        <f t="shared" si="2"/>
        <v>0</v>
      </c>
      <c r="G99" s="106">
        <f t="shared" si="3"/>
        <v>0</v>
      </c>
    </row>
    <row r="100" spans="1:7" s="75" customFormat="1" ht="38.25" customHeight="1">
      <c r="A100" s="39" t="s">
        <v>466</v>
      </c>
      <c r="B100" s="110"/>
      <c r="C100" s="16">
        <v>4.5</v>
      </c>
      <c r="D100" s="19"/>
      <c r="E100" s="19"/>
      <c r="F100" s="107">
        <f t="shared" si="2"/>
        <v>0</v>
      </c>
      <c r="G100" s="106">
        <f t="shared" si="3"/>
        <v>0</v>
      </c>
    </row>
    <row r="101" spans="1:7" s="75" customFormat="1" ht="38.25" customHeight="1">
      <c r="A101" s="39" t="s">
        <v>467</v>
      </c>
      <c r="B101" s="110"/>
      <c r="C101" s="16">
        <v>4.3</v>
      </c>
      <c r="D101" s="19"/>
      <c r="E101" s="19"/>
      <c r="F101" s="107">
        <f t="shared" si="2"/>
        <v>0</v>
      </c>
      <c r="G101" s="106">
        <f t="shared" si="3"/>
        <v>0</v>
      </c>
    </row>
    <row r="102" spans="1:7" s="75" customFormat="1" ht="38.25" customHeight="1">
      <c r="A102" s="108" t="s">
        <v>468</v>
      </c>
      <c r="B102" s="110"/>
      <c r="C102" s="16">
        <v>3.4</v>
      </c>
      <c r="D102" s="19"/>
      <c r="E102" s="19"/>
      <c r="F102" s="107">
        <f t="shared" si="2"/>
        <v>0</v>
      </c>
      <c r="G102" s="106">
        <f t="shared" si="3"/>
        <v>0</v>
      </c>
    </row>
    <row r="103" spans="1:7" s="75" customFormat="1" ht="38.25" customHeight="1">
      <c r="A103" s="108" t="s">
        <v>469</v>
      </c>
      <c r="B103" s="110"/>
      <c r="C103" s="16">
        <v>4.5999999999999996</v>
      </c>
      <c r="D103" s="19"/>
      <c r="E103" s="19"/>
      <c r="F103" s="107">
        <f t="shared" si="2"/>
        <v>0</v>
      </c>
      <c r="G103" s="106">
        <f t="shared" si="3"/>
        <v>0</v>
      </c>
    </row>
    <row r="104" spans="1:7" s="75" customFormat="1" ht="38.25" customHeight="1">
      <c r="A104" s="108" t="s">
        <v>470</v>
      </c>
      <c r="B104" s="110"/>
      <c r="C104" s="16">
        <v>8.6999999999999993</v>
      </c>
      <c r="D104" s="19"/>
      <c r="E104" s="19"/>
      <c r="F104" s="107">
        <f t="shared" si="2"/>
        <v>0</v>
      </c>
      <c r="G104" s="106">
        <f t="shared" si="3"/>
        <v>0</v>
      </c>
    </row>
    <row r="105" spans="1:7" s="75" customFormat="1" ht="38.25" customHeight="1">
      <c r="A105" s="108" t="s">
        <v>471</v>
      </c>
      <c r="B105" s="110"/>
      <c r="C105" s="16">
        <v>13.2</v>
      </c>
      <c r="D105" s="19"/>
      <c r="E105" s="19"/>
      <c r="F105" s="107">
        <f t="shared" si="2"/>
        <v>0</v>
      </c>
      <c r="G105" s="106">
        <f t="shared" si="3"/>
        <v>0</v>
      </c>
    </row>
    <row r="106" spans="1:7" s="75" customFormat="1" ht="38.25" customHeight="1">
      <c r="A106" s="108" t="s">
        <v>472</v>
      </c>
      <c r="B106" s="110"/>
      <c r="C106" s="16">
        <v>5.7</v>
      </c>
      <c r="D106" s="19"/>
      <c r="E106" s="19"/>
      <c r="F106" s="107">
        <f t="shared" si="2"/>
        <v>0</v>
      </c>
      <c r="G106" s="106">
        <f t="shared" si="3"/>
        <v>0</v>
      </c>
    </row>
    <row r="107" spans="1:7" s="75" customFormat="1" ht="38.25" customHeight="1">
      <c r="A107" s="108" t="s">
        <v>473</v>
      </c>
      <c r="B107" s="110"/>
      <c r="C107" s="16">
        <v>4.8</v>
      </c>
      <c r="D107" s="19"/>
      <c r="E107" s="19"/>
      <c r="F107" s="107">
        <f t="shared" si="2"/>
        <v>0</v>
      </c>
      <c r="G107" s="106">
        <f t="shared" si="3"/>
        <v>0</v>
      </c>
    </row>
    <row r="108" spans="1:7" s="75" customFormat="1" ht="38.25" customHeight="1">
      <c r="A108" s="108" t="s">
        <v>474</v>
      </c>
      <c r="B108" s="110"/>
      <c r="C108" s="16">
        <v>18</v>
      </c>
      <c r="D108" s="19"/>
      <c r="E108" s="19"/>
      <c r="F108" s="107">
        <f t="shared" si="2"/>
        <v>0</v>
      </c>
      <c r="G108" s="106">
        <f t="shared" si="3"/>
        <v>0</v>
      </c>
    </row>
    <row r="109" spans="1:7" s="75" customFormat="1" ht="38.25" customHeight="1">
      <c r="A109" s="39" t="s">
        <v>235</v>
      </c>
      <c r="B109" s="110"/>
      <c r="C109" s="16">
        <v>2</v>
      </c>
      <c r="D109" s="19"/>
      <c r="E109" s="19"/>
      <c r="F109" s="107">
        <f t="shared" si="2"/>
        <v>0</v>
      </c>
      <c r="G109" s="106">
        <f t="shared" si="3"/>
        <v>0</v>
      </c>
    </row>
    <row r="110" spans="1:7" s="75" customFormat="1" ht="38.25" customHeight="1">
      <c r="A110" s="39" t="s">
        <v>236</v>
      </c>
      <c r="B110" s="110"/>
      <c r="C110" s="16">
        <v>1.4</v>
      </c>
      <c r="D110" s="19"/>
      <c r="E110" s="19"/>
      <c r="F110" s="107">
        <f t="shared" si="2"/>
        <v>0</v>
      </c>
      <c r="G110" s="106">
        <f t="shared" si="3"/>
        <v>0</v>
      </c>
    </row>
    <row r="111" spans="1:7" s="75" customFormat="1" ht="38.25" customHeight="1">
      <c r="A111" s="39" t="s">
        <v>237</v>
      </c>
      <c r="B111" s="110"/>
      <c r="C111" s="16">
        <v>4.5</v>
      </c>
      <c r="D111" s="19"/>
      <c r="E111" s="19"/>
      <c r="F111" s="107">
        <f t="shared" si="2"/>
        <v>0</v>
      </c>
      <c r="G111" s="106">
        <f t="shared" si="3"/>
        <v>0</v>
      </c>
    </row>
    <row r="112" spans="1:7" s="75" customFormat="1" ht="38.25" customHeight="1">
      <c r="A112" s="39" t="s">
        <v>247</v>
      </c>
      <c r="B112" s="110"/>
      <c r="C112" s="68">
        <v>1.4</v>
      </c>
      <c r="D112" s="19"/>
      <c r="E112" s="19"/>
      <c r="F112" s="107">
        <f t="shared" si="2"/>
        <v>0</v>
      </c>
      <c r="G112" s="106">
        <f t="shared" si="3"/>
        <v>0</v>
      </c>
    </row>
    <row r="113" spans="1:7" s="75" customFormat="1" ht="38.25" customHeight="1">
      <c r="A113" s="39" t="s">
        <v>249</v>
      </c>
      <c r="B113" s="110"/>
      <c r="C113" s="68">
        <v>5</v>
      </c>
      <c r="D113" s="19"/>
      <c r="E113" s="19"/>
      <c r="F113" s="107">
        <f t="shared" si="2"/>
        <v>0</v>
      </c>
      <c r="G113" s="106">
        <f t="shared" si="3"/>
        <v>0</v>
      </c>
    </row>
    <row r="114" spans="1:7" s="75" customFormat="1" ht="38.25" customHeight="1">
      <c r="A114" s="41" t="s">
        <v>250</v>
      </c>
      <c r="B114" s="110"/>
      <c r="C114" s="68">
        <v>0.5</v>
      </c>
      <c r="D114" s="19"/>
      <c r="E114" s="19"/>
      <c r="F114" s="107">
        <f t="shared" si="2"/>
        <v>0</v>
      </c>
      <c r="G114" s="106">
        <f t="shared" si="3"/>
        <v>0</v>
      </c>
    </row>
    <row r="115" spans="1:7" s="75" customFormat="1" ht="38.25" customHeight="1">
      <c r="A115" s="39" t="s">
        <v>256</v>
      </c>
      <c r="B115" s="110"/>
      <c r="C115" s="68">
        <v>61</v>
      </c>
      <c r="D115" s="19"/>
      <c r="E115" s="19"/>
      <c r="F115" s="107">
        <f t="shared" si="2"/>
        <v>0</v>
      </c>
      <c r="G115" s="106">
        <f t="shared" si="3"/>
        <v>0</v>
      </c>
    </row>
    <row r="116" spans="1:7" s="75" customFormat="1" ht="38.25" customHeight="1">
      <c r="A116" s="39" t="s">
        <v>257</v>
      </c>
      <c r="B116" s="110"/>
      <c r="C116" s="68">
        <v>84</v>
      </c>
      <c r="D116" s="19"/>
      <c r="E116" s="19"/>
      <c r="F116" s="107">
        <f t="shared" si="2"/>
        <v>0</v>
      </c>
      <c r="G116" s="106">
        <f t="shared" si="3"/>
        <v>0</v>
      </c>
    </row>
    <row r="117" spans="1:7" s="75" customFormat="1" ht="38.25" customHeight="1">
      <c r="A117" s="39" t="s">
        <v>258</v>
      </c>
      <c r="B117" s="110"/>
      <c r="C117" s="68">
        <v>75</v>
      </c>
      <c r="D117" s="19"/>
      <c r="E117" s="19"/>
      <c r="F117" s="107">
        <f t="shared" si="2"/>
        <v>0</v>
      </c>
      <c r="G117" s="106">
        <f t="shared" si="3"/>
        <v>0</v>
      </c>
    </row>
    <row r="118" spans="1:7" s="75" customFormat="1" ht="38.25" customHeight="1">
      <c r="A118" s="39" t="s">
        <v>259</v>
      </c>
      <c r="B118" s="110"/>
      <c r="C118" s="68">
        <v>2.2999999999999998</v>
      </c>
      <c r="D118" s="19"/>
      <c r="E118" s="19"/>
      <c r="F118" s="107">
        <f t="shared" si="2"/>
        <v>0</v>
      </c>
      <c r="G118" s="106">
        <f t="shared" si="3"/>
        <v>0</v>
      </c>
    </row>
    <row r="119" spans="1:7" s="75" customFormat="1" ht="38.25" customHeight="1">
      <c r="A119" s="39" t="s">
        <v>260</v>
      </c>
      <c r="B119" s="110"/>
      <c r="C119" s="68">
        <v>22.8</v>
      </c>
      <c r="D119" s="19"/>
      <c r="E119" s="19"/>
      <c r="F119" s="107">
        <f t="shared" si="2"/>
        <v>0</v>
      </c>
      <c r="G119" s="106">
        <f t="shared" si="3"/>
        <v>0</v>
      </c>
    </row>
    <row r="120" spans="1:7" s="75" customFormat="1" ht="38.25" customHeight="1">
      <c r="A120" s="39" t="s">
        <v>261</v>
      </c>
      <c r="B120" s="110"/>
      <c r="C120" s="68">
        <v>21.5</v>
      </c>
      <c r="D120" s="19"/>
      <c r="E120" s="19"/>
      <c r="F120" s="107">
        <f t="shared" si="2"/>
        <v>0</v>
      </c>
      <c r="G120" s="106">
        <f t="shared" si="3"/>
        <v>0</v>
      </c>
    </row>
    <row r="121" spans="1:7" s="75" customFormat="1" ht="38.25" customHeight="1">
      <c r="A121" s="39" t="s">
        <v>262</v>
      </c>
      <c r="B121" s="110"/>
      <c r="C121" s="68">
        <v>2</v>
      </c>
      <c r="D121" s="19"/>
      <c r="E121" s="19"/>
      <c r="F121" s="107">
        <f t="shared" si="2"/>
        <v>0</v>
      </c>
      <c r="G121" s="106">
        <f t="shared" si="3"/>
        <v>0</v>
      </c>
    </row>
    <row r="122" spans="1:7" s="75" customFormat="1" ht="38.25" customHeight="1">
      <c r="A122" s="39" t="s">
        <v>475</v>
      </c>
      <c r="B122" s="110"/>
      <c r="C122" s="16">
        <v>6.4</v>
      </c>
      <c r="D122" s="19"/>
      <c r="E122" s="19"/>
      <c r="F122" s="107">
        <f t="shared" si="2"/>
        <v>0</v>
      </c>
      <c r="G122" s="106">
        <f t="shared" si="3"/>
        <v>0</v>
      </c>
    </row>
    <row r="123" spans="1:7" s="75" customFormat="1" ht="38.25" customHeight="1">
      <c r="A123" s="39" t="s">
        <v>476</v>
      </c>
      <c r="B123" s="110"/>
      <c r="C123" s="16">
        <v>1.5</v>
      </c>
      <c r="D123" s="19"/>
      <c r="E123" s="19"/>
      <c r="F123" s="107">
        <f t="shared" si="2"/>
        <v>0</v>
      </c>
      <c r="G123" s="106">
        <f t="shared" si="3"/>
        <v>0</v>
      </c>
    </row>
    <row r="124" spans="1:7" s="75" customFormat="1" ht="38.25" customHeight="1">
      <c r="A124" s="39" t="s">
        <v>477</v>
      </c>
      <c r="B124" s="110"/>
      <c r="C124" s="16">
        <v>5.9</v>
      </c>
      <c r="D124" s="19"/>
      <c r="E124" s="19"/>
      <c r="F124" s="107">
        <f t="shared" si="2"/>
        <v>0</v>
      </c>
      <c r="G124" s="106">
        <f t="shared" si="3"/>
        <v>0</v>
      </c>
    </row>
    <row r="125" spans="1:7" s="75" customFormat="1" ht="38.25" customHeight="1">
      <c r="A125" s="39" t="s">
        <v>478</v>
      </c>
      <c r="B125" s="110"/>
      <c r="C125" s="16">
        <v>4.5999999999999996</v>
      </c>
      <c r="D125" s="19"/>
      <c r="E125" s="19"/>
      <c r="F125" s="107">
        <f t="shared" si="2"/>
        <v>0</v>
      </c>
      <c r="G125" s="106">
        <f t="shared" si="3"/>
        <v>0</v>
      </c>
    </row>
    <row r="126" spans="1:7" s="75" customFormat="1" ht="38.25" customHeight="1">
      <c r="A126" s="39" t="s">
        <v>479</v>
      </c>
      <c r="B126" s="110"/>
      <c r="C126" s="16">
        <v>14.6</v>
      </c>
      <c r="D126" s="19"/>
      <c r="E126" s="19"/>
      <c r="F126" s="107">
        <f t="shared" si="2"/>
        <v>0</v>
      </c>
      <c r="G126" s="106">
        <f t="shared" si="3"/>
        <v>0</v>
      </c>
    </row>
    <row r="127" spans="1:7" s="75" customFormat="1" ht="38.25" customHeight="1">
      <c r="A127" s="39" t="s">
        <v>480</v>
      </c>
      <c r="B127" s="110"/>
      <c r="C127" s="16">
        <v>2.2999999999999998</v>
      </c>
      <c r="D127" s="19"/>
      <c r="E127" s="19"/>
      <c r="F127" s="107">
        <f t="shared" si="2"/>
        <v>0</v>
      </c>
      <c r="G127" s="106">
        <f t="shared" si="3"/>
        <v>0</v>
      </c>
    </row>
    <row r="128" spans="1:7" s="75" customFormat="1" ht="38.25" customHeight="1">
      <c r="A128" s="39" t="s">
        <v>481</v>
      </c>
      <c r="B128" s="110"/>
      <c r="C128" s="16">
        <v>0.9</v>
      </c>
      <c r="D128" s="19"/>
      <c r="E128" s="19"/>
      <c r="F128" s="107">
        <f t="shared" si="2"/>
        <v>0</v>
      </c>
      <c r="G128" s="106">
        <f t="shared" si="3"/>
        <v>0</v>
      </c>
    </row>
    <row r="129" spans="1:7" s="75" customFormat="1" ht="38.25" customHeight="1">
      <c r="A129" s="39" t="s">
        <v>482</v>
      </c>
      <c r="B129" s="110"/>
      <c r="C129" s="16">
        <v>1</v>
      </c>
      <c r="D129" s="19"/>
      <c r="E129" s="19"/>
      <c r="F129" s="107">
        <f t="shared" si="2"/>
        <v>0</v>
      </c>
      <c r="G129" s="106">
        <f t="shared" si="3"/>
        <v>0</v>
      </c>
    </row>
    <row r="130" spans="1:7" s="75" customFormat="1" ht="38.25" customHeight="1">
      <c r="A130" s="39" t="s">
        <v>483</v>
      </c>
      <c r="B130" s="110"/>
      <c r="C130" s="16">
        <v>2</v>
      </c>
      <c r="D130" s="19"/>
      <c r="E130" s="19"/>
      <c r="F130" s="107">
        <f t="shared" si="2"/>
        <v>0</v>
      </c>
      <c r="G130" s="106">
        <f t="shared" si="3"/>
        <v>0</v>
      </c>
    </row>
    <row r="131" spans="1:7" s="75" customFormat="1" ht="38.25" customHeight="1">
      <c r="A131" s="39" t="s">
        <v>484</v>
      </c>
      <c r="B131" s="110"/>
      <c r="C131" s="16">
        <v>2.8</v>
      </c>
      <c r="D131" s="19"/>
      <c r="E131" s="19"/>
      <c r="F131" s="107">
        <f t="shared" si="2"/>
        <v>0</v>
      </c>
      <c r="G131" s="106">
        <f t="shared" si="3"/>
        <v>0</v>
      </c>
    </row>
    <row r="132" spans="1:7" s="75" customFormat="1" ht="38.25" customHeight="1">
      <c r="A132" s="39" t="s">
        <v>485</v>
      </c>
      <c r="B132" s="110"/>
      <c r="C132" s="16">
        <v>11.6</v>
      </c>
      <c r="D132" s="19"/>
      <c r="E132" s="19"/>
      <c r="F132" s="107">
        <f t="shared" si="2"/>
        <v>0</v>
      </c>
      <c r="G132" s="106">
        <f t="shared" si="3"/>
        <v>0</v>
      </c>
    </row>
    <row r="133" spans="1:7" s="75" customFormat="1" ht="38.25" customHeight="1">
      <c r="A133" s="39" t="s">
        <v>486</v>
      </c>
      <c r="B133" s="110"/>
      <c r="C133" s="16">
        <v>4.7</v>
      </c>
      <c r="D133" s="19"/>
      <c r="E133" s="19"/>
      <c r="F133" s="107">
        <f t="shared" ref="F133:F196" si="4">E133-D133</f>
        <v>0</v>
      </c>
      <c r="G133" s="106">
        <f t="shared" ref="G133:G196" si="5">(E133-D133)*100</f>
        <v>0</v>
      </c>
    </row>
    <row r="134" spans="1:7" s="75" customFormat="1" ht="38.25" customHeight="1">
      <c r="A134" s="39" t="s">
        <v>487</v>
      </c>
      <c r="B134" s="110"/>
      <c r="C134" s="16">
        <v>8</v>
      </c>
      <c r="D134" s="19"/>
      <c r="E134" s="19"/>
      <c r="F134" s="107">
        <f t="shared" si="4"/>
        <v>0</v>
      </c>
      <c r="G134" s="106">
        <f t="shared" si="5"/>
        <v>0</v>
      </c>
    </row>
    <row r="135" spans="1:7" s="75" customFormat="1" ht="38.25" customHeight="1">
      <c r="A135" s="39" t="s">
        <v>488</v>
      </c>
      <c r="B135" s="110"/>
      <c r="C135" s="16">
        <v>3.5</v>
      </c>
      <c r="D135" s="19"/>
      <c r="E135" s="19"/>
      <c r="F135" s="107">
        <f t="shared" si="4"/>
        <v>0</v>
      </c>
      <c r="G135" s="106">
        <f t="shared" si="5"/>
        <v>0</v>
      </c>
    </row>
    <row r="136" spans="1:7" s="75" customFormat="1" ht="38.25" customHeight="1">
      <c r="A136" s="39" t="s">
        <v>489</v>
      </c>
      <c r="B136" s="110"/>
      <c r="C136" s="16">
        <v>14.3</v>
      </c>
      <c r="D136" s="19"/>
      <c r="E136" s="19"/>
      <c r="F136" s="107">
        <f t="shared" si="4"/>
        <v>0</v>
      </c>
      <c r="G136" s="106">
        <f t="shared" si="5"/>
        <v>0</v>
      </c>
    </row>
    <row r="137" spans="1:7" s="75" customFormat="1" ht="38.25" customHeight="1">
      <c r="A137" s="39" t="s">
        <v>490</v>
      </c>
      <c r="B137" s="110"/>
      <c r="C137" s="16">
        <v>6.8</v>
      </c>
      <c r="D137" s="19"/>
      <c r="E137" s="19"/>
      <c r="F137" s="107">
        <f t="shared" si="4"/>
        <v>0</v>
      </c>
      <c r="G137" s="106">
        <f t="shared" si="5"/>
        <v>0</v>
      </c>
    </row>
    <row r="138" spans="1:7" s="75" customFormat="1" ht="38.25" customHeight="1">
      <c r="A138" s="39" t="s">
        <v>491</v>
      </c>
      <c r="B138" s="110"/>
      <c r="C138" s="16">
        <v>16.8</v>
      </c>
      <c r="D138" s="19"/>
      <c r="E138" s="19"/>
      <c r="F138" s="107">
        <f t="shared" si="4"/>
        <v>0</v>
      </c>
      <c r="G138" s="106">
        <f t="shared" si="5"/>
        <v>0</v>
      </c>
    </row>
    <row r="139" spans="1:7" s="75" customFormat="1" ht="38.25" customHeight="1">
      <c r="A139" s="39" t="s">
        <v>492</v>
      </c>
      <c r="B139" s="110"/>
      <c r="C139" s="16">
        <v>4.5999999999999996</v>
      </c>
      <c r="D139" s="19"/>
      <c r="E139" s="19"/>
      <c r="F139" s="107">
        <f t="shared" si="4"/>
        <v>0</v>
      </c>
      <c r="G139" s="106">
        <f t="shared" si="5"/>
        <v>0</v>
      </c>
    </row>
    <row r="140" spans="1:7" s="75" customFormat="1" ht="38.25" customHeight="1">
      <c r="A140" s="108" t="s">
        <v>493</v>
      </c>
      <c r="B140" s="110"/>
      <c r="C140" s="16">
        <v>4</v>
      </c>
      <c r="D140" s="19"/>
      <c r="E140" s="19"/>
      <c r="F140" s="107">
        <f t="shared" si="4"/>
        <v>0</v>
      </c>
      <c r="G140" s="106">
        <f t="shared" si="5"/>
        <v>0</v>
      </c>
    </row>
    <row r="141" spans="1:7" s="75" customFormat="1" ht="38.25" customHeight="1">
      <c r="A141" s="108" t="s">
        <v>494</v>
      </c>
      <c r="B141" s="110"/>
      <c r="C141" s="16">
        <v>2.1</v>
      </c>
      <c r="D141" s="19"/>
      <c r="E141" s="19"/>
      <c r="F141" s="107">
        <f t="shared" si="4"/>
        <v>0</v>
      </c>
      <c r="G141" s="106">
        <f t="shared" si="5"/>
        <v>0</v>
      </c>
    </row>
    <row r="142" spans="1:7" s="75" customFormat="1" ht="38.25" customHeight="1">
      <c r="A142" s="108" t="s">
        <v>495</v>
      </c>
      <c r="B142" s="110"/>
      <c r="C142" s="16">
        <v>2.5</v>
      </c>
      <c r="D142" s="19"/>
      <c r="E142" s="19"/>
      <c r="F142" s="107">
        <f t="shared" si="4"/>
        <v>0</v>
      </c>
      <c r="G142" s="106">
        <f t="shared" si="5"/>
        <v>0</v>
      </c>
    </row>
    <row r="143" spans="1:7" s="75" customFormat="1" ht="38.25" customHeight="1">
      <c r="A143" s="108" t="s">
        <v>496</v>
      </c>
      <c r="B143" s="110"/>
      <c r="C143" s="16">
        <v>5.9</v>
      </c>
      <c r="D143" s="19"/>
      <c r="E143" s="19"/>
      <c r="F143" s="107">
        <f t="shared" si="4"/>
        <v>0</v>
      </c>
      <c r="G143" s="106">
        <f t="shared" si="5"/>
        <v>0</v>
      </c>
    </row>
    <row r="144" spans="1:7" s="75" customFormat="1" ht="38.25" customHeight="1">
      <c r="A144" s="108" t="s">
        <v>497</v>
      </c>
      <c r="B144" s="110"/>
      <c r="C144" s="16">
        <v>2.2999999999999998</v>
      </c>
      <c r="D144" s="19"/>
      <c r="E144" s="19"/>
      <c r="F144" s="107">
        <f t="shared" si="4"/>
        <v>0</v>
      </c>
      <c r="G144" s="106">
        <f t="shared" si="5"/>
        <v>0</v>
      </c>
    </row>
    <row r="145" spans="1:7" s="75" customFormat="1" ht="38.25" customHeight="1">
      <c r="A145" s="108" t="s">
        <v>498</v>
      </c>
      <c r="B145" s="110"/>
      <c r="C145" s="16">
        <v>4.3</v>
      </c>
      <c r="D145" s="19"/>
      <c r="E145" s="19"/>
      <c r="F145" s="107">
        <f t="shared" si="4"/>
        <v>0</v>
      </c>
      <c r="G145" s="106">
        <f t="shared" si="5"/>
        <v>0</v>
      </c>
    </row>
    <row r="146" spans="1:7" s="75" customFormat="1" ht="38.25" customHeight="1">
      <c r="A146" s="108" t="s">
        <v>499</v>
      </c>
      <c r="B146" s="110"/>
      <c r="C146" s="16">
        <v>9.9</v>
      </c>
      <c r="D146" s="19"/>
      <c r="E146" s="19"/>
      <c r="F146" s="107">
        <f t="shared" si="4"/>
        <v>0</v>
      </c>
      <c r="G146" s="106">
        <f t="shared" si="5"/>
        <v>0</v>
      </c>
    </row>
    <row r="147" spans="1:7" s="75" customFormat="1" ht="38.25" customHeight="1">
      <c r="A147" s="49" t="s">
        <v>285</v>
      </c>
      <c r="B147" s="110"/>
      <c r="C147" s="16"/>
      <c r="D147" s="19"/>
      <c r="E147" s="16">
        <v>5.8</v>
      </c>
      <c r="F147" s="107">
        <f t="shared" si="4"/>
        <v>5.8</v>
      </c>
      <c r="G147" s="106">
        <f t="shared" si="5"/>
        <v>580</v>
      </c>
    </row>
    <row r="148" spans="1:7" s="75" customFormat="1" ht="38.25" customHeight="1">
      <c r="A148" s="49" t="s">
        <v>286</v>
      </c>
      <c r="B148" s="110"/>
      <c r="C148" s="16"/>
      <c r="D148" s="19"/>
      <c r="E148" s="16">
        <v>0.5</v>
      </c>
      <c r="F148" s="107">
        <f t="shared" si="4"/>
        <v>0.5</v>
      </c>
      <c r="G148" s="106">
        <f t="shared" si="5"/>
        <v>50</v>
      </c>
    </row>
    <row r="149" spans="1:7" s="75" customFormat="1" ht="38.25" customHeight="1">
      <c r="A149" s="49" t="s">
        <v>287</v>
      </c>
      <c r="B149" s="110"/>
      <c r="C149" s="16"/>
      <c r="D149" s="19"/>
      <c r="E149" s="16">
        <v>5.2</v>
      </c>
      <c r="F149" s="107">
        <f t="shared" si="4"/>
        <v>5.2</v>
      </c>
      <c r="G149" s="106">
        <f t="shared" si="5"/>
        <v>520</v>
      </c>
    </row>
    <row r="150" spans="1:7" s="75" customFormat="1" ht="38.25" customHeight="1">
      <c r="A150" s="49" t="s">
        <v>288</v>
      </c>
      <c r="B150" s="110"/>
      <c r="C150" s="16"/>
      <c r="D150" s="19"/>
      <c r="E150" s="16">
        <v>0.7</v>
      </c>
      <c r="F150" s="107">
        <f t="shared" si="4"/>
        <v>0.7</v>
      </c>
      <c r="G150" s="106">
        <f t="shared" si="5"/>
        <v>70</v>
      </c>
    </row>
    <row r="151" spans="1:7" s="75" customFormat="1" ht="38.25" customHeight="1">
      <c r="A151" s="49" t="s">
        <v>289</v>
      </c>
      <c r="B151" s="110"/>
      <c r="C151" s="16"/>
      <c r="D151" s="19"/>
      <c r="E151" s="16">
        <v>5</v>
      </c>
      <c r="F151" s="107">
        <f t="shared" si="4"/>
        <v>5</v>
      </c>
      <c r="G151" s="106">
        <f t="shared" si="5"/>
        <v>500</v>
      </c>
    </row>
    <row r="152" spans="1:7" s="75" customFormat="1" ht="38.25" customHeight="1">
      <c r="A152" s="49" t="s">
        <v>290</v>
      </c>
      <c r="B152" s="110"/>
      <c r="C152" s="16"/>
      <c r="D152" s="19"/>
      <c r="E152" s="16">
        <v>25.2</v>
      </c>
      <c r="F152" s="107">
        <f t="shared" si="4"/>
        <v>25.2</v>
      </c>
      <c r="G152" s="106">
        <f t="shared" si="5"/>
        <v>2520</v>
      </c>
    </row>
    <row r="153" spans="1:7" s="75" customFormat="1" ht="38.25" customHeight="1">
      <c r="A153" s="49" t="s">
        <v>291</v>
      </c>
      <c r="B153" s="110"/>
      <c r="C153" s="16"/>
      <c r="D153" s="19"/>
      <c r="E153" s="16">
        <v>16.8</v>
      </c>
      <c r="F153" s="107">
        <f t="shared" si="4"/>
        <v>16.8</v>
      </c>
      <c r="G153" s="106">
        <f t="shared" si="5"/>
        <v>1680</v>
      </c>
    </row>
    <row r="154" spans="1:7" s="75" customFormat="1" ht="38.25" customHeight="1">
      <c r="A154" s="49" t="s">
        <v>292</v>
      </c>
      <c r="B154" s="110"/>
      <c r="C154" s="16"/>
      <c r="D154" s="19"/>
      <c r="E154" s="16">
        <v>1.3</v>
      </c>
      <c r="F154" s="107">
        <f t="shared" si="4"/>
        <v>1.3</v>
      </c>
      <c r="G154" s="106">
        <f t="shared" si="5"/>
        <v>130</v>
      </c>
    </row>
    <row r="155" spans="1:7" s="75" customFormat="1" ht="38.25" customHeight="1">
      <c r="A155" s="49" t="s">
        <v>293</v>
      </c>
      <c r="B155" s="110"/>
      <c r="C155" s="16"/>
      <c r="D155" s="19"/>
      <c r="E155" s="16">
        <v>4.9000000000000004</v>
      </c>
      <c r="F155" s="107">
        <f t="shared" si="4"/>
        <v>4.9000000000000004</v>
      </c>
      <c r="G155" s="106">
        <f t="shared" si="5"/>
        <v>490.00000000000006</v>
      </c>
    </row>
    <row r="156" spans="1:7" s="75" customFormat="1" ht="38.25" customHeight="1">
      <c r="A156" s="49" t="s">
        <v>294</v>
      </c>
      <c r="B156" s="110"/>
      <c r="C156" s="16"/>
      <c r="D156" s="19"/>
      <c r="E156" s="16">
        <v>2.2999999999999998</v>
      </c>
      <c r="F156" s="107">
        <f t="shared" si="4"/>
        <v>2.2999999999999998</v>
      </c>
      <c r="G156" s="106">
        <f t="shared" si="5"/>
        <v>229.99999999999997</v>
      </c>
    </row>
    <row r="157" spans="1:7" s="75" customFormat="1" ht="38.25" customHeight="1">
      <c r="A157" s="49" t="s">
        <v>295</v>
      </c>
      <c r="B157" s="110"/>
      <c r="C157" s="16"/>
      <c r="D157" s="19"/>
      <c r="E157" s="16">
        <v>0.4</v>
      </c>
      <c r="F157" s="107">
        <f t="shared" si="4"/>
        <v>0.4</v>
      </c>
      <c r="G157" s="106">
        <f t="shared" si="5"/>
        <v>40</v>
      </c>
    </row>
    <row r="158" spans="1:7" s="75" customFormat="1" ht="38.25" customHeight="1">
      <c r="A158" s="49" t="s">
        <v>296</v>
      </c>
      <c r="B158" s="110"/>
      <c r="C158" s="16"/>
      <c r="D158" s="19"/>
      <c r="E158" s="16">
        <v>4.8</v>
      </c>
      <c r="F158" s="107">
        <f t="shared" si="4"/>
        <v>4.8</v>
      </c>
      <c r="G158" s="106">
        <f t="shared" si="5"/>
        <v>480</v>
      </c>
    </row>
    <row r="159" spans="1:7" s="75" customFormat="1" ht="38.25" customHeight="1">
      <c r="A159" s="49" t="s">
        <v>297</v>
      </c>
      <c r="B159" s="110"/>
      <c r="C159" s="16"/>
      <c r="D159" s="19"/>
      <c r="E159" s="16">
        <v>6.2</v>
      </c>
      <c r="F159" s="107">
        <f t="shared" si="4"/>
        <v>6.2</v>
      </c>
      <c r="G159" s="106">
        <f t="shared" si="5"/>
        <v>620</v>
      </c>
    </row>
    <row r="160" spans="1:7" s="75" customFormat="1" ht="38.25" customHeight="1">
      <c r="A160" s="49" t="s">
        <v>298</v>
      </c>
      <c r="B160" s="110"/>
      <c r="C160" s="16"/>
      <c r="D160" s="19"/>
      <c r="E160" s="16">
        <v>1.5</v>
      </c>
      <c r="F160" s="107">
        <f t="shared" si="4"/>
        <v>1.5</v>
      </c>
      <c r="G160" s="106">
        <f t="shared" si="5"/>
        <v>150</v>
      </c>
    </row>
    <row r="161" spans="1:7" s="75" customFormat="1" ht="38.25" customHeight="1">
      <c r="A161" s="49" t="s">
        <v>299</v>
      </c>
      <c r="B161" s="110"/>
      <c r="C161" s="16"/>
      <c r="D161" s="19"/>
      <c r="E161" s="16">
        <v>9.9</v>
      </c>
      <c r="F161" s="107">
        <f t="shared" si="4"/>
        <v>9.9</v>
      </c>
      <c r="G161" s="106">
        <f t="shared" si="5"/>
        <v>990</v>
      </c>
    </row>
    <row r="162" spans="1:7" s="75" customFormat="1" ht="38.25" customHeight="1">
      <c r="A162" s="49" t="s">
        <v>300</v>
      </c>
      <c r="B162" s="110"/>
      <c r="C162" s="16"/>
      <c r="D162" s="19"/>
      <c r="E162" s="16">
        <v>4.5</v>
      </c>
      <c r="F162" s="107">
        <f t="shared" si="4"/>
        <v>4.5</v>
      </c>
      <c r="G162" s="106">
        <f t="shared" si="5"/>
        <v>450</v>
      </c>
    </row>
    <row r="163" spans="1:7" s="75" customFormat="1" ht="38.25" customHeight="1">
      <c r="A163" s="49" t="s">
        <v>301</v>
      </c>
      <c r="B163" s="110"/>
      <c r="C163" s="16"/>
      <c r="D163" s="19"/>
      <c r="E163" s="16">
        <v>3.1</v>
      </c>
      <c r="F163" s="107">
        <f t="shared" si="4"/>
        <v>3.1</v>
      </c>
      <c r="G163" s="106">
        <f t="shared" si="5"/>
        <v>310</v>
      </c>
    </row>
    <row r="164" spans="1:7" s="75" customFormat="1" ht="38.25" customHeight="1">
      <c r="A164" s="49" t="s">
        <v>302</v>
      </c>
      <c r="B164" s="110"/>
      <c r="C164" s="16"/>
      <c r="D164" s="19"/>
      <c r="E164" s="16">
        <v>1.6</v>
      </c>
      <c r="F164" s="107">
        <f t="shared" si="4"/>
        <v>1.6</v>
      </c>
      <c r="G164" s="106">
        <f t="shared" si="5"/>
        <v>160</v>
      </c>
    </row>
    <row r="165" spans="1:7" s="75" customFormat="1" ht="38.25" customHeight="1">
      <c r="A165" s="49" t="s">
        <v>303</v>
      </c>
      <c r="B165" s="110"/>
      <c r="C165" s="16"/>
      <c r="D165" s="19"/>
      <c r="E165" s="16">
        <v>4.8</v>
      </c>
      <c r="F165" s="107">
        <f t="shared" si="4"/>
        <v>4.8</v>
      </c>
      <c r="G165" s="106">
        <f t="shared" si="5"/>
        <v>480</v>
      </c>
    </row>
    <row r="166" spans="1:7" s="75" customFormat="1" ht="38.25" customHeight="1">
      <c r="A166" s="49" t="s">
        <v>304</v>
      </c>
      <c r="B166" s="110"/>
      <c r="C166" s="16"/>
      <c r="D166" s="19"/>
      <c r="E166" s="16">
        <v>0.8</v>
      </c>
      <c r="F166" s="107">
        <f t="shared" si="4"/>
        <v>0.8</v>
      </c>
      <c r="G166" s="106">
        <f t="shared" si="5"/>
        <v>80</v>
      </c>
    </row>
    <row r="167" spans="1:7" s="75" customFormat="1" ht="38.25" customHeight="1">
      <c r="A167" s="49" t="s">
        <v>305</v>
      </c>
      <c r="B167" s="110"/>
      <c r="C167" s="16"/>
      <c r="D167" s="19"/>
      <c r="E167" s="16">
        <v>1.2</v>
      </c>
      <c r="F167" s="107">
        <f t="shared" si="4"/>
        <v>1.2</v>
      </c>
      <c r="G167" s="106">
        <f t="shared" si="5"/>
        <v>120</v>
      </c>
    </row>
    <row r="168" spans="1:7" s="75" customFormat="1" ht="38.25" customHeight="1">
      <c r="A168" s="49" t="s">
        <v>306</v>
      </c>
      <c r="B168" s="110"/>
      <c r="C168" s="16"/>
      <c r="D168" s="19"/>
      <c r="E168" s="16">
        <v>0.6</v>
      </c>
      <c r="F168" s="107">
        <f t="shared" si="4"/>
        <v>0.6</v>
      </c>
      <c r="G168" s="106">
        <f t="shared" si="5"/>
        <v>60</v>
      </c>
    </row>
    <row r="169" spans="1:7" s="75" customFormat="1" ht="38.25" customHeight="1">
      <c r="A169" s="49" t="s">
        <v>307</v>
      </c>
      <c r="B169" s="110"/>
      <c r="C169" s="16"/>
      <c r="D169" s="19"/>
      <c r="E169" s="16">
        <v>1.6</v>
      </c>
      <c r="F169" s="107">
        <f t="shared" si="4"/>
        <v>1.6</v>
      </c>
      <c r="G169" s="106">
        <f t="shared" si="5"/>
        <v>160</v>
      </c>
    </row>
    <row r="170" spans="1:7" s="75" customFormat="1" ht="38.25" customHeight="1">
      <c r="A170" s="49" t="s">
        <v>308</v>
      </c>
      <c r="B170" s="110"/>
      <c r="C170" s="16"/>
      <c r="D170" s="19"/>
      <c r="E170" s="16">
        <v>5.7</v>
      </c>
      <c r="F170" s="107">
        <f t="shared" si="4"/>
        <v>5.7</v>
      </c>
      <c r="G170" s="106">
        <f t="shared" si="5"/>
        <v>570</v>
      </c>
    </row>
    <row r="171" spans="1:7" s="75" customFormat="1" ht="38.25" customHeight="1">
      <c r="A171" s="49" t="s">
        <v>309</v>
      </c>
      <c r="B171" s="110"/>
      <c r="C171" s="16"/>
      <c r="D171" s="19"/>
      <c r="E171" s="16">
        <v>5.5</v>
      </c>
      <c r="F171" s="107">
        <f t="shared" si="4"/>
        <v>5.5</v>
      </c>
      <c r="G171" s="106">
        <f t="shared" si="5"/>
        <v>550</v>
      </c>
    </row>
    <row r="172" spans="1:7" s="75" customFormat="1" ht="38.25" customHeight="1">
      <c r="A172" s="49" t="s">
        <v>310</v>
      </c>
      <c r="B172" s="110"/>
      <c r="C172" s="16"/>
      <c r="D172" s="19"/>
      <c r="E172" s="16">
        <v>24.5</v>
      </c>
      <c r="F172" s="107">
        <f t="shared" si="4"/>
        <v>24.5</v>
      </c>
      <c r="G172" s="106">
        <f t="shared" si="5"/>
        <v>2450</v>
      </c>
    </row>
    <row r="173" spans="1:7" s="75" customFormat="1" ht="38.25" customHeight="1">
      <c r="A173" s="49" t="s">
        <v>311</v>
      </c>
      <c r="B173" s="110"/>
      <c r="C173" s="16"/>
      <c r="D173" s="19"/>
      <c r="E173" s="16">
        <v>2.2999999999999998</v>
      </c>
      <c r="F173" s="107">
        <f t="shared" si="4"/>
        <v>2.2999999999999998</v>
      </c>
      <c r="G173" s="106">
        <f t="shared" si="5"/>
        <v>229.99999999999997</v>
      </c>
    </row>
    <row r="174" spans="1:7" s="75" customFormat="1" ht="38.25" customHeight="1">
      <c r="A174" s="49" t="s">
        <v>312</v>
      </c>
      <c r="B174" s="110"/>
      <c r="C174" s="16"/>
      <c r="D174" s="19"/>
      <c r="E174" s="16">
        <v>0.7</v>
      </c>
      <c r="F174" s="107">
        <f t="shared" si="4"/>
        <v>0.7</v>
      </c>
      <c r="G174" s="106">
        <f t="shared" si="5"/>
        <v>70</v>
      </c>
    </row>
    <row r="175" spans="1:7" s="75" customFormat="1" ht="38.25" customHeight="1">
      <c r="A175" s="49" t="s">
        <v>313</v>
      </c>
      <c r="B175" s="110"/>
      <c r="C175" s="16"/>
      <c r="D175" s="19"/>
      <c r="E175" s="16">
        <v>0.4</v>
      </c>
      <c r="F175" s="107">
        <f t="shared" si="4"/>
        <v>0.4</v>
      </c>
      <c r="G175" s="106">
        <f t="shared" si="5"/>
        <v>40</v>
      </c>
    </row>
    <row r="176" spans="1:7" s="75" customFormat="1" ht="38.25" customHeight="1">
      <c r="A176" s="49" t="s">
        <v>516</v>
      </c>
      <c r="B176" s="110"/>
      <c r="C176" s="16"/>
      <c r="D176" s="19"/>
      <c r="E176" s="16">
        <v>17.899999999999999</v>
      </c>
      <c r="F176" s="107">
        <f t="shared" si="4"/>
        <v>17.899999999999999</v>
      </c>
      <c r="G176" s="106">
        <f t="shared" si="5"/>
        <v>1789.9999999999998</v>
      </c>
    </row>
    <row r="177" spans="1:7" s="75" customFormat="1" ht="38.25" customHeight="1">
      <c r="A177" s="49" t="s">
        <v>509</v>
      </c>
      <c r="B177" s="110"/>
      <c r="C177" s="16"/>
      <c r="D177" s="19"/>
      <c r="E177" s="16">
        <v>7.4</v>
      </c>
      <c r="F177" s="107">
        <f t="shared" si="4"/>
        <v>7.4</v>
      </c>
      <c r="G177" s="106">
        <f t="shared" si="5"/>
        <v>740</v>
      </c>
    </row>
    <row r="178" spans="1:7" s="75" customFormat="1" ht="38.25" customHeight="1">
      <c r="A178" s="191" t="s">
        <v>510</v>
      </c>
      <c r="B178" s="110"/>
      <c r="C178" s="16"/>
      <c r="D178" s="19"/>
      <c r="E178" s="16">
        <v>1.6</v>
      </c>
      <c r="F178" s="107">
        <f t="shared" si="4"/>
        <v>1.6</v>
      </c>
      <c r="G178" s="106">
        <f t="shared" si="5"/>
        <v>160</v>
      </c>
    </row>
    <row r="179" spans="1:7" s="75" customFormat="1" ht="38.25" customHeight="1">
      <c r="A179" s="49" t="s">
        <v>314</v>
      </c>
      <c r="B179" s="110"/>
      <c r="C179" s="16"/>
      <c r="D179" s="19"/>
      <c r="E179" s="16">
        <v>10.7</v>
      </c>
      <c r="F179" s="107">
        <f t="shared" si="4"/>
        <v>10.7</v>
      </c>
      <c r="G179" s="106">
        <f t="shared" si="5"/>
        <v>1070</v>
      </c>
    </row>
    <row r="180" spans="1:7" s="75" customFormat="1" ht="38.25" customHeight="1">
      <c r="A180" s="43" t="s">
        <v>318</v>
      </c>
      <c r="B180" s="110"/>
      <c r="C180" s="16"/>
      <c r="D180" s="19"/>
      <c r="E180" s="16">
        <f>5.2+6.4</f>
        <v>11.600000000000001</v>
      </c>
      <c r="F180" s="107">
        <f t="shared" si="4"/>
        <v>11.600000000000001</v>
      </c>
      <c r="G180" s="106">
        <f t="shared" si="5"/>
        <v>1160.0000000000002</v>
      </c>
    </row>
    <row r="181" spans="1:7" s="75" customFormat="1" ht="38.25" customHeight="1">
      <c r="A181" s="42" t="s">
        <v>315</v>
      </c>
      <c r="B181" s="110"/>
      <c r="C181" s="16"/>
      <c r="D181" s="19"/>
      <c r="E181" s="16">
        <v>8</v>
      </c>
      <c r="F181" s="107">
        <f t="shared" si="4"/>
        <v>8</v>
      </c>
      <c r="G181" s="106">
        <f t="shared" si="5"/>
        <v>800</v>
      </c>
    </row>
    <row r="182" spans="1:7" s="75" customFormat="1" ht="38.25" customHeight="1">
      <c r="A182" s="43" t="s">
        <v>316</v>
      </c>
      <c r="B182" s="110"/>
      <c r="C182" s="16"/>
      <c r="D182" s="19"/>
      <c r="E182" s="16">
        <v>4.5999999999999996</v>
      </c>
      <c r="F182" s="107">
        <f t="shared" si="4"/>
        <v>4.5999999999999996</v>
      </c>
      <c r="G182" s="106">
        <f t="shared" si="5"/>
        <v>459.99999999999994</v>
      </c>
    </row>
    <row r="183" spans="1:7" s="75" customFormat="1" ht="38.25" customHeight="1">
      <c r="A183" s="43" t="s">
        <v>317</v>
      </c>
      <c r="B183" s="110"/>
      <c r="C183" s="16"/>
      <c r="D183" s="19"/>
      <c r="E183" s="16">
        <v>2.1</v>
      </c>
      <c r="F183" s="107">
        <f t="shared" si="4"/>
        <v>2.1</v>
      </c>
      <c r="G183" s="106">
        <f t="shared" si="5"/>
        <v>210</v>
      </c>
    </row>
    <row r="184" spans="1:7" s="75" customFormat="1" ht="38.25" customHeight="1">
      <c r="A184" s="191" t="s">
        <v>505</v>
      </c>
      <c r="B184" s="110"/>
      <c r="C184" s="16"/>
      <c r="D184" s="19"/>
      <c r="E184" s="16">
        <v>0.3</v>
      </c>
      <c r="F184" s="107">
        <f t="shared" si="4"/>
        <v>0.3</v>
      </c>
      <c r="G184" s="106">
        <f t="shared" si="5"/>
        <v>30</v>
      </c>
    </row>
    <row r="185" spans="1:7" s="75" customFormat="1" ht="38.25" customHeight="1">
      <c r="A185" s="191" t="s">
        <v>507</v>
      </c>
      <c r="B185" s="110"/>
      <c r="C185" s="16"/>
      <c r="D185" s="19"/>
      <c r="E185" s="16">
        <v>0.4</v>
      </c>
      <c r="F185" s="107">
        <f t="shared" si="4"/>
        <v>0.4</v>
      </c>
      <c r="G185" s="106">
        <f t="shared" si="5"/>
        <v>40</v>
      </c>
    </row>
    <row r="186" spans="1:7" s="75" customFormat="1" ht="38.25" customHeight="1">
      <c r="A186" s="191" t="s">
        <v>511</v>
      </c>
      <c r="B186" s="110"/>
      <c r="C186" s="16"/>
      <c r="D186" s="19"/>
      <c r="E186" s="16">
        <v>0.7</v>
      </c>
      <c r="F186" s="107">
        <f t="shared" si="4"/>
        <v>0.7</v>
      </c>
      <c r="G186" s="106">
        <f t="shared" si="5"/>
        <v>70</v>
      </c>
    </row>
    <row r="187" spans="1:7" s="75" customFormat="1" ht="38.25" customHeight="1">
      <c r="A187" s="39" t="s">
        <v>416</v>
      </c>
      <c r="B187" s="110"/>
      <c r="C187" s="16"/>
      <c r="D187" s="19"/>
      <c r="E187" s="16">
        <f>1.6+4</f>
        <v>5.6</v>
      </c>
      <c r="F187" s="107">
        <f t="shared" si="4"/>
        <v>5.6</v>
      </c>
      <c r="G187" s="106">
        <f t="shared" si="5"/>
        <v>560</v>
      </c>
    </row>
    <row r="188" spans="1:7" s="75" customFormat="1" ht="38.25" customHeight="1">
      <c r="A188" s="39" t="s">
        <v>417</v>
      </c>
      <c r="B188" s="110"/>
      <c r="C188" s="16"/>
      <c r="D188" s="19"/>
      <c r="E188" s="16">
        <v>2.7</v>
      </c>
      <c r="F188" s="107">
        <f t="shared" si="4"/>
        <v>2.7</v>
      </c>
      <c r="G188" s="106">
        <f t="shared" si="5"/>
        <v>270</v>
      </c>
    </row>
    <row r="189" spans="1:7" s="75" customFormat="1" ht="38.25" customHeight="1">
      <c r="A189" s="39" t="s">
        <v>418</v>
      </c>
      <c r="B189" s="110"/>
      <c r="C189" s="16"/>
      <c r="D189" s="19"/>
      <c r="E189" s="16">
        <v>5</v>
      </c>
      <c r="F189" s="107">
        <f t="shared" si="4"/>
        <v>5</v>
      </c>
      <c r="G189" s="106">
        <f t="shared" si="5"/>
        <v>500</v>
      </c>
    </row>
    <row r="190" spans="1:7" s="75" customFormat="1" ht="38.25" customHeight="1">
      <c r="A190" s="39" t="s">
        <v>419</v>
      </c>
      <c r="B190" s="110"/>
      <c r="C190" s="16"/>
      <c r="D190" s="19"/>
      <c r="E190" s="16">
        <v>7.6</v>
      </c>
      <c r="F190" s="107">
        <f t="shared" si="4"/>
        <v>7.6</v>
      </c>
      <c r="G190" s="106">
        <f t="shared" si="5"/>
        <v>760</v>
      </c>
    </row>
    <row r="191" spans="1:7" s="75" customFormat="1" ht="38.25" customHeight="1">
      <c r="A191" s="39" t="s">
        <v>420</v>
      </c>
      <c r="B191" s="110"/>
      <c r="C191" s="16"/>
      <c r="D191" s="19"/>
      <c r="E191" s="16">
        <v>15.3</v>
      </c>
      <c r="F191" s="107">
        <f t="shared" si="4"/>
        <v>15.3</v>
      </c>
      <c r="G191" s="106">
        <f t="shared" si="5"/>
        <v>1530</v>
      </c>
    </row>
    <row r="192" spans="1:7" s="75" customFormat="1" ht="38.25" customHeight="1">
      <c r="A192" s="191" t="s">
        <v>506</v>
      </c>
      <c r="B192" s="110"/>
      <c r="C192" s="16"/>
      <c r="D192" s="19"/>
      <c r="E192" s="16">
        <v>1.4</v>
      </c>
      <c r="F192" s="107">
        <f t="shared" si="4"/>
        <v>1.4</v>
      </c>
      <c r="G192" s="106">
        <f t="shared" si="5"/>
        <v>140</v>
      </c>
    </row>
    <row r="193" spans="1:7" s="75" customFormat="1" ht="38.25" customHeight="1">
      <c r="A193" s="191" t="s">
        <v>508</v>
      </c>
      <c r="B193" s="110"/>
      <c r="C193" s="16"/>
      <c r="D193" s="19"/>
      <c r="E193" s="16">
        <v>2</v>
      </c>
      <c r="F193" s="107">
        <f t="shared" si="4"/>
        <v>2</v>
      </c>
      <c r="G193" s="106">
        <f t="shared" si="5"/>
        <v>200</v>
      </c>
    </row>
    <row r="194" spans="1:7" s="75" customFormat="1" ht="38.25" customHeight="1">
      <c r="A194" s="191" t="s">
        <v>512</v>
      </c>
      <c r="B194" s="110"/>
      <c r="C194" s="16"/>
      <c r="D194" s="19"/>
      <c r="E194" s="16">
        <v>3</v>
      </c>
      <c r="F194" s="107">
        <f t="shared" si="4"/>
        <v>3</v>
      </c>
      <c r="G194" s="106">
        <f t="shared" si="5"/>
        <v>300</v>
      </c>
    </row>
    <row r="195" spans="1:7" s="75" customFormat="1" ht="38.25" customHeight="1">
      <c r="A195" s="191" t="s">
        <v>513</v>
      </c>
      <c r="B195" s="110"/>
      <c r="C195" s="16"/>
      <c r="D195" s="19"/>
      <c r="E195" s="16">
        <v>3.7</v>
      </c>
      <c r="F195" s="107">
        <f t="shared" si="4"/>
        <v>3.7</v>
      </c>
      <c r="G195" s="106">
        <f t="shared" si="5"/>
        <v>370</v>
      </c>
    </row>
    <row r="196" spans="1:7" s="75" customFormat="1" ht="38.25" customHeight="1">
      <c r="A196" s="191" t="s">
        <v>514</v>
      </c>
      <c r="B196" s="110"/>
      <c r="C196" s="16"/>
      <c r="D196" s="19"/>
      <c r="E196" s="16">
        <f>13.8+10.4</f>
        <v>24.200000000000003</v>
      </c>
      <c r="F196" s="107">
        <f t="shared" si="4"/>
        <v>24.200000000000003</v>
      </c>
      <c r="G196" s="106">
        <f t="shared" si="5"/>
        <v>2420.0000000000005</v>
      </c>
    </row>
    <row r="197" spans="1:7" s="75" customFormat="1" ht="38.25" customHeight="1">
      <c r="A197" s="191" t="s">
        <v>515</v>
      </c>
      <c r="B197" s="110"/>
      <c r="C197" s="16"/>
      <c r="D197" s="19"/>
      <c r="E197" s="16">
        <v>2.5</v>
      </c>
      <c r="F197" s="107">
        <f t="shared" ref="F197:F209" si="6">E197-D197</f>
        <v>2.5</v>
      </c>
      <c r="G197" s="106">
        <f t="shared" ref="G197:G209" si="7">(E197-D197)*100</f>
        <v>250</v>
      </c>
    </row>
    <row r="198" spans="1:7" s="75" customFormat="1" ht="38.25" customHeight="1">
      <c r="A198" s="191" t="s">
        <v>565</v>
      </c>
      <c r="B198" s="110"/>
      <c r="C198" s="16"/>
      <c r="D198" s="19"/>
      <c r="E198" s="16">
        <v>2.1</v>
      </c>
      <c r="F198" s="107">
        <f t="shared" si="6"/>
        <v>2.1</v>
      </c>
      <c r="G198" s="106">
        <f t="shared" si="7"/>
        <v>210</v>
      </c>
    </row>
    <row r="199" spans="1:7" s="75" customFormat="1" ht="38.25" customHeight="1">
      <c r="A199" s="191" t="s">
        <v>569</v>
      </c>
      <c r="B199" s="110"/>
      <c r="C199" s="16"/>
      <c r="D199" s="19"/>
      <c r="E199" s="16">
        <v>1.5</v>
      </c>
      <c r="F199" s="107">
        <f t="shared" si="6"/>
        <v>1.5</v>
      </c>
      <c r="G199" s="106">
        <f t="shared" si="7"/>
        <v>150</v>
      </c>
    </row>
    <row r="200" spans="1:7" s="75" customFormat="1" ht="38.25" customHeight="1">
      <c r="A200" s="191" t="s">
        <v>566</v>
      </c>
      <c r="B200" s="110"/>
      <c r="C200" s="16"/>
      <c r="D200" s="19"/>
      <c r="E200" s="16">
        <v>1.4</v>
      </c>
      <c r="F200" s="107">
        <f t="shared" si="6"/>
        <v>1.4</v>
      </c>
      <c r="G200" s="106">
        <f t="shared" si="7"/>
        <v>140</v>
      </c>
    </row>
    <row r="201" spans="1:7" s="75" customFormat="1" ht="38.25" customHeight="1">
      <c r="A201" s="191" t="s">
        <v>567</v>
      </c>
      <c r="B201" s="110"/>
      <c r="C201" s="16"/>
      <c r="D201" s="19"/>
      <c r="E201" s="16">
        <v>2.1</v>
      </c>
      <c r="F201" s="107">
        <f t="shared" si="6"/>
        <v>2.1</v>
      </c>
      <c r="G201" s="106">
        <f t="shared" si="7"/>
        <v>210</v>
      </c>
    </row>
    <row r="202" spans="1:7" s="75" customFormat="1" ht="38.25" customHeight="1">
      <c r="A202" s="191" t="s">
        <v>568</v>
      </c>
      <c r="B202" s="110"/>
      <c r="C202" s="16"/>
      <c r="D202" s="19"/>
      <c r="E202" s="16">
        <v>4.5</v>
      </c>
      <c r="F202" s="107">
        <f t="shared" si="6"/>
        <v>4.5</v>
      </c>
      <c r="G202" s="106">
        <f t="shared" si="7"/>
        <v>450</v>
      </c>
    </row>
    <row r="203" spans="1:7" s="75" customFormat="1" ht="40.5" customHeight="1">
      <c r="A203" s="135" t="s">
        <v>10</v>
      </c>
      <c r="B203" s="335">
        <v>4050</v>
      </c>
      <c r="C203" s="107">
        <f>C204+C205</f>
        <v>9920.1</v>
      </c>
      <c r="D203" s="107">
        <f t="shared" ref="D203:E203" si="8">D204+D205</f>
        <v>0</v>
      </c>
      <c r="E203" s="107">
        <f t="shared" si="8"/>
        <v>0</v>
      </c>
      <c r="F203" s="107">
        <f t="shared" si="6"/>
        <v>0</v>
      </c>
      <c r="G203" s="334">
        <f t="shared" si="7"/>
        <v>0</v>
      </c>
    </row>
    <row r="204" spans="1:7" s="75" customFormat="1" ht="40.5" customHeight="1">
      <c r="A204" s="49" t="s">
        <v>500</v>
      </c>
      <c r="B204" s="110"/>
      <c r="C204" s="19">
        <v>7356.3</v>
      </c>
      <c r="D204" s="19"/>
      <c r="E204" s="16"/>
      <c r="F204" s="107">
        <f t="shared" si="6"/>
        <v>0</v>
      </c>
      <c r="G204" s="106">
        <f t="shared" si="7"/>
        <v>0</v>
      </c>
    </row>
    <row r="205" spans="1:7" ht="78" customHeight="1">
      <c r="A205" s="111" t="s">
        <v>268</v>
      </c>
      <c r="B205" s="47"/>
      <c r="C205" s="16">
        <v>2563.8000000000002</v>
      </c>
      <c r="D205" s="16"/>
      <c r="E205" s="16"/>
      <c r="F205" s="16">
        <f t="shared" si="6"/>
        <v>0</v>
      </c>
      <c r="G205" s="109">
        <f t="shared" si="7"/>
        <v>0</v>
      </c>
    </row>
    <row r="206" spans="1:7" ht="44.25" customHeight="1">
      <c r="A206" s="163" t="s">
        <v>501</v>
      </c>
      <c r="B206" s="164">
        <v>4060</v>
      </c>
      <c r="C206" s="107">
        <f>C207+C208</f>
        <v>1113.5</v>
      </c>
      <c r="D206" s="107"/>
      <c r="E206" s="107">
        <f>E207+E208+E209</f>
        <v>552.29999999999995</v>
      </c>
      <c r="F206" s="107">
        <f t="shared" si="6"/>
        <v>552.29999999999995</v>
      </c>
      <c r="G206" s="334">
        <f t="shared" si="7"/>
        <v>55229.999999999993</v>
      </c>
    </row>
    <row r="207" spans="1:7" ht="57" customHeight="1">
      <c r="A207" s="41" t="s">
        <v>649</v>
      </c>
      <c r="B207" s="40"/>
      <c r="C207" s="16">
        <v>887.5</v>
      </c>
      <c r="D207" s="16"/>
      <c r="E207" s="16"/>
      <c r="F207" s="16">
        <f t="shared" si="6"/>
        <v>0</v>
      </c>
      <c r="G207" s="109">
        <f t="shared" si="7"/>
        <v>0</v>
      </c>
    </row>
    <row r="208" spans="1:7" ht="80.25" customHeight="1">
      <c r="A208" s="165" t="s">
        <v>710</v>
      </c>
      <c r="B208" s="164"/>
      <c r="C208" s="16">
        <v>226</v>
      </c>
      <c r="D208" s="16"/>
      <c r="E208" s="16">
        <v>274.2</v>
      </c>
      <c r="F208" s="16">
        <f t="shared" si="6"/>
        <v>274.2</v>
      </c>
      <c r="G208" s="109">
        <f t="shared" si="7"/>
        <v>27420</v>
      </c>
    </row>
    <row r="209" spans="1:7" ht="83.25" customHeight="1">
      <c r="A209" s="165" t="s">
        <v>570</v>
      </c>
      <c r="B209" s="164"/>
      <c r="C209" s="16"/>
      <c r="D209" s="16"/>
      <c r="E209" s="16">
        <v>278.10000000000002</v>
      </c>
      <c r="F209" s="16">
        <f t="shared" si="6"/>
        <v>278.10000000000002</v>
      </c>
      <c r="G209" s="109">
        <f t="shared" si="7"/>
        <v>27810.000000000004</v>
      </c>
    </row>
    <row r="210" spans="1:7" ht="30" customHeight="1">
      <c r="A210" s="359" t="s">
        <v>432</v>
      </c>
      <c r="B210" s="17"/>
      <c r="C210" s="413"/>
      <c r="D210" s="413"/>
      <c r="E210" s="104"/>
      <c r="F210" s="416" t="s">
        <v>520</v>
      </c>
      <c r="G210" s="416"/>
    </row>
    <row r="211" spans="1:7">
      <c r="A211" s="168" t="s">
        <v>59</v>
      </c>
      <c r="B211" s="18"/>
      <c r="C211" s="405" t="s">
        <v>65</v>
      </c>
      <c r="D211" s="405"/>
      <c r="E211" s="166"/>
      <c r="F211" s="414" t="s">
        <v>18</v>
      </c>
      <c r="G211" s="414"/>
    </row>
    <row r="212" spans="1:7">
      <c r="A212" s="73"/>
      <c r="C212" s="103"/>
      <c r="D212" s="74"/>
      <c r="E212" s="74"/>
      <c r="F212" s="74"/>
    </row>
    <row r="213" spans="1:7">
      <c r="A213" s="73"/>
      <c r="C213" s="103"/>
      <c r="D213" s="74"/>
      <c r="E213" s="74"/>
      <c r="F213" s="74"/>
    </row>
    <row r="214" spans="1:7">
      <c r="A214" s="73"/>
      <c r="C214" s="103"/>
      <c r="D214" s="74"/>
      <c r="E214" s="74"/>
      <c r="F214" s="74"/>
    </row>
    <row r="215" spans="1:7">
      <c r="A215" s="73"/>
      <c r="C215" s="103"/>
      <c r="D215" s="74"/>
      <c r="E215" s="74"/>
      <c r="F215" s="74"/>
    </row>
    <row r="216" spans="1:7">
      <c r="A216" s="73"/>
      <c r="C216" s="103"/>
      <c r="D216" s="74"/>
      <c r="E216" s="74"/>
      <c r="F216" s="74"/>
    </row>
    <row r="217" spans="1:7">
      <c r="A217" s="73"/>
      <c r="C217" s="103"/>
      <c r="D217" s="74"/>
      <c r="E217" s="74"/>
      <c r="F217" s="74"/>
    </row>
    <row r="218" spans="1:7">
      <c r="A218" s="73"/>
      <c r="C218" s="103"/>
      <c r="D218" s="74"/>
      <c r="E218" s="74"/>
      <c r="F218" s="74"/>
    </row>
    <row r="219" spans="1:7">
      <c r="A219" s="73"/>
      <c r="C219" s="103"/>
      <c r="D219" s="74"/>
      <c r="E219" s="74"/>
      <c r="F219" s="74"/>
    </row>
    <row r="220" spans="1:7">
      <c r="A220" s="73"/>
      <c r="C220" s="103"/>
      <c r="D220" s="74"/>
      <c r="E220" s="74"/>
      <c r="F220" s="74"/>
    </row>
    <row r="221" spans="1:7">
      <c r="A221" s="73"/>
      <c r="C221" s="103"/>
      <c r="D221" s="74"/>
      <c r="E221" s="74"/>
      <c r="F221" s="74"/>
    </row>
    <row r="222" spans="1:7">
      <c r="A222" s="73"/>
      <c r="C222" s="103"/>
      <c r="D222" s="74"/>
      <c r="E222" s="74"/>
      <c r="F222" s="74"/>
    </row>
    <row r="223" spans="1:7">
      <c r="A223" s="73"/>
      <c r="C223" s="103"/>
      <c r="D223" s="74"/>
      <c r="E223" s="74"/>
      <c r="F223" s="74"/>
    </row>
    <row r="224" spans="1:7">
      <c r="A224" s="73"/>
      <c r="C224" s="103"/>
      <c r="D224" s="74"/>
      <c r="E224" s="74"/>
      <c r="F224" s="74"/>
    </row>
    <row r="225" spans="1:6">
      <c r="A225" s="73"/>
      <c r="C225" s="103"/>
      <c r="D225" s="74"/>
      <c r="E225" s="74"/>
      <c r="F225" s="74"/>
    </row>
    <row r="226" spans="1:6">
      <c r="A226" s="73"/>
      <c r="C226" s="103"/>
      <c r="D226" s="74"/>
      <c r="E226" s="74"/>
      <c r="F226" s="74"/>
    </row>
    <row r="227" spans="1:6">
      <c r="A227" s="73"/>
      <c r="C227" s="103"/>
      <c r="D227" s="74"/>
      <c r="E227" s="74"/>
      <c r="F227" s="74"/>
    </row>
    <row r="228" spans="1:6">
      <c r="A228" s="73"/>
      <c r="C228" s="103"/>
      <c r="D228" s="74"/>
      <c r="E228" s="74"/>
      <c r="F228" s="74"/>
    </row>
    <row r="229" spans="1:6">
      <c r="A229" s="73"/>
      <c r="C229" s="103"/>
      <c r="D229" s="74"/>
      <c r="E229" s="74"/>
      <c r="F229" s="74"/>
    </row>
    <row r="230" spans="1:6">
      <c r="A230" s="73"/>
      <c r="C230" s="103"/>
      <c r="D230" s="74"/>
      <c r="E230" s="74"/>
      <c r="F230" s="74"/>
    </row>
    <row r="231" spans="1:6">
      <c r="A231" s="73"/>
      <c r="C231" s="103"/>
      <c r="D231" s="74"/>
      <c r="E231" s="74"/>
      <c r="F231" s="74"/>
    </row>
    <row r="232" spans="1:6">
      <c r="A232" s="73"/>
      <c r="C232" s="103"/>
      <c r="D232" s="74"/>
      <c r="E232" s="74"/>
      <c r="F232" s="74"/>
    </row>
    <row r="233" spans="1:6">
      <c r="A233" s="73"/>
      <c r="C233" s="103"/>
      <c r="D233" s="74"/>
      <c r="E233" s="74"/>
      <c r="F233" s="74"/>
    </row>
    <row r="234" spans="1:6">
      <c r="A234" s="73"/>
      <c r="C234" s="103"/>
      <c r="D234" s="74"/>
      <c r="E234" s="74"/>
      <c r="F234" s="74"/>
    </row>
    <row r="235" spans="1:6">
      <c r="A235" s="73"/>
      <c r="C235" s="103"/>
      <c r="D235" s="74"/>
      <c r="E235" s="74"/>
      <c r="F235" s="74"/>
    </row>
    <row r="236" spans="1:6">
      <c r="A236" s="73"/>
      <c r="C236" s="103"/>
      <c r="D236" s="74"/>
      <c r="E236" s="74"/>
      <c r="F236" s="74"/>
    </row>
    <row r="237" spans="1:6">
      <c r="A237" s="73"/>
      <c r="C237" s="103"/>
      <c r="D237" s="74"/>
      <c r="E237" s="74"/>
      <c r="F237" s="74"/>
    </row>
    <row r="238" spans="1:6">
      <c r="A238" s="73"/>
      <c r="C238" s="103"/>
      <c r="D238" s="74"/>
      <c r="E238" s="74"/>
      <c r="F238" s="74"/>
    </row>
    <row r="239" spans="1:6">
      <c r="A239" s="73"/>
      <c r="C239" s="103"/>
      <c r="D239" s="74"/>
      <c r="E239" s="74"/>
      <c r="F239" s="74"/>
    </row>
    <row r="240" spans="1:6">
      <c r="A240" s="73"/>
      <c r="C240" s="103"/>
      <c r="D240" s="74"/>
      <c r="E240" s="74"/>
      <c r="F240" s="74"/>
    </row>
    <row r="241" spans="1:6">
      <c r="A241" s="73"/>
      <c r="C241" s="103"/>
      <c r="D241" s="74"/>
      <c r="E241" s="74"/>
      <c r="F241" s="74"/>
    </row>
    <row r="242" spans="1:6">
      <c r="A242" s="73"/>
      <c r="C242" s="103"/>
      <c r="D242" s="74"/>
      <c r="E242" s="74"/>
      <c r="F242" s="74"/>
    </row>
    <row r="243" spans="1:6">
      <c r="A243" s="73"/>
      <c r="C243" s="103"/>
      <c r="D243" s="74"/>
      <c r="E243" s="74"/>
      <c r="F243" s="74"/>
    </row>
    <row r="244" spans="1:6">
      <c r="A244" s="73"/>
      <c r="C244" s="103"/>
      <c r="D244" s="74"/>
      <c r="E244" s="74"/>
      <c r="F244" s="74"/>
    </row>
    <row r="245" spans="1:6">
      <c r="A245" s="73"/>
      <c r="C245" s="103"/>
      <c r="D245" s="74"/>
      <c r="E245" s="74"/>
      <c r="F245" s="74"/>
    </row>
    <row r="246" spans="1:6">
      <c r="A246" s="73"/>
      <c r="C246" s="103"/>
      <c r="D246" s="74"/>
      <c r="E246" s="74"/>
      <c r="F246" s="74"/>
    </row>
    <row r="247" spans="1:6">
      <c r="A247" s="73"/>
      <c r="C247" s="103"/>
      <c r="D247" s="74"/>
      <c r="E247" s="74"/>
      <c r="F247" s="74"/>
    </row>
    <row r="248" spans="1:6">
      <c r="A248" s="73"/>
      <c r="C248" s="103"/>
      <c r="D248" s="74"/>
      <c r="E248" s="74"/>
      <c r="F248" s="74"/>
    </row>
    <row r="249" spans="1:6">
      <c r="A249" s="73"/>
      <c r="C249" s="103"/>
      <c r="D249" s="74"/>
      <c r="E249" s="74"/>
      <c r="F249" s="74"/>
    </row>
    <row r="250" spans="1:6">
      <c r="A250" s="73"/>
      <c r="C250" s="103"/>
      <c r="D250" s="74"/>
      <c r="E250" s="74"/>
      <c r="F250" s="74"/>
    </row>
    <row r="251" spans="1:6">
      <c r="A251" s="73"/>
      <c r="C251" s="103"/>
      <c r="D251" s="74"/>
      <c r="E251" s="74"/>
      <c r="F251" s="74"/>
    </row>
    <row r="252" spans="1:6">
      <c r="A252" s="73"/>
      <c r="C252" s="103"/>
      <c r="D252" s="74"/>
      <c r="E252" s="74"/>
      <c r="F252" s="74"/>
    </row>
    <row r="253" spans="1:6">
      <c r="A253" s="73"/>
      <c r="C253" s="103"/>
      <c r="D253" s="74"/>
      <c r="E253" s="74"/>
      <c r="F253" s="74"/>
    </row>
    <row r="254" spans="1:6">
      <c r="A254" s="73"/>
      <c r="C254" s="103"/>
      <c r="D254" s="74"/>
      <c r="E254" s="74"/>
      <c r="F254" s="74"/>
    </row>
    <row r="255" spans="1:6">
      <c r="A255" s="73"/>
      <c r="C255" s="103"/>
      <c r="D255" s="74"/>
      <c r="E255" s="74"/>
      <c r="F255" s="74"/>
    </row>
    <row r="256" spans="1:6">
      <c r="A256" s="73"/>
      <c r="C256" s="103"/>
      <c r="D256" s="74"/>
      <c r="E256" s="74"/>
      <c r="F256" s="74"/>
    </row>
    <row r="257" spans="1:6">
      <c r="A257" s="73"/>
      <c r="C257" s="103"/>
      <c r="D257" s="74"/>
      <c r="E257" s="74"/>
      <c r="F257" s="74"/>
    </row>
    <row r="258" spans="1:6">
      <c r="A258" s="73"/>
      <c r="C258" s="103"/>
      <c r="D258" s="74"/>
      <c r="E258" s="74"/>
      <c r="F258" s="74"/>
    </row>
    <row r="259" spans="1:6">
      <c r="A259" s="73"/>
      <c r="C259" s="103"/>
      <c r="D259" s="74"/>
      <c r="E259" s="74"/>
      <c r="F259" s="74"/>
    </row>
    <row r="260" spans="1:6">
      <c r="A260" s="73"/>
      <c r="C260" s="103"/>
      <c r="D260" s="74"/>
      <c r="E260" s="74"/>
      <c r="F260" s="74"/>
    </row>
    <row r="261" spans="1:6">
      <c r="A261" s="73"/>
      <c r="C261" s="103"/>
      <c r="D261" s="74"/>
      <c r="E261" s="74"/>
      <c r="F261" s="74"/>
    </row>
    <row r="262" spans="1:6">
      <c r="A262" s="73"/>
      <c r="C262" s="103"/>
      <c r="D262" s="74"/>
      <c r="E262" s="74"/>
      <c r="F262" s="74"/>
    </row>
    <row r="263" spans="1:6">
      <c r="A263" s="73"/>
      <c r="C263" s="103"/>
      <c r="D263" s="74"/>
      <c r="E263" s="74"/>
      <c r="F263" s="74"/>
    </row>
    <row r="264" spans="1:6">
      <c r="A264" s="73"/>
      <c r="C264" s="103"/>
      <c r="D264" s="74"/>
      <c r="E264" s="74"/>
      <c r="F264" s="74"/>
    </row>
    <row r="265" spans="1:6">
      <c r="A265" s="73"/>
      <c r="C265" s="103"/>
      <c r="D265" s="74"/>
      <c r="E265" s="74"/>
      <c r="F265" s="74"/>
    </row>
    <row r="266" spans="1:6">
      <c r="A266" s="73"/>
    </row>
    <row r="267" spans="1:6">
      <c r="A267" s="76"/>
    </row>
    <row r="268" spans="1:6">
      <c r="A268" s="76"/>
    </row>
    <row r="269" spans="1:6">
      <c r="A269" s="76"/>
    </row>
    <row r="270" spans="1:6">
      <c r="A270" s="76"/>
    </row>
    <row r="271" spans="1:6">
      <c r="A271" s="76"/>
    </row>
    <row r="272" spans="1:6">
      <c r="A272" s="76"/>
    </row>
    <row r="273" spans="1:1">
      <c r="A273" s="76"/>
    </row>
    <row r="274" spans="1:1">
      <c r="A274" s="76"/>
    </row>
    <row r="275" spans="1:1">
      <c r="A275" s="76"/>
    </row>
    <row r="276" spans="1:1">
      <c r="A276" s="76"/>
    </row>
    <row r="277" spans="1:1">
      <c r="A277" s="76"/>
    </row>
    <row r="278" spans="1:1">
      <c r="A278" s="76"/>
    </row>
    <row r="279" spans="1:1">
      <c r="A279" s="76"/>
    </row>
    <row r="280" spans="1:1">
      <c r="A280" s="76"/>
    </row>
    <row r="281" spans="1:1">
      <c r="A281" s="76"/>
    </row>
    <row r="282" spans="1:1">
      <c r="A282" s="76"/>
    </row>
    <row r="283" spans="1:1">
      <c r="A283" s="76"/>
    </row>
    <row r="284" spans="1:1">
      <c r="A284" s="76"/>
    </row>
    <row r="285" spans="1:1">
      <c r="A285" s="76"/>
    </row>
    <row r="286" spans="1:1">
      <c r="A286" s="76"/>
    </row>
    <row r="287" spans="1:1">
      <c r="A287" s="76"/>
    </row>
    <row r="288" spans="1:1">
      <c r="A288" s="76"/>
    </row>
    <row r="289" spans="1:1">
      <c r="A289" s="76"/>
    </row>
    <row r="290" spans="1:1">
      <c r="A290" s="76"/>
    </row>
    <row r="291" spans="1:1">
      <c r="A291" s="76"/>
    </row>
    <row r="292" spans="1:1">
      <c r="A292" s="76"/>
    </row>
    <row r="293" spans="1:1">
      <c r="A293" s="76"/>
    </row>
    <row r="294" spans="1:1">
      <c r="A294" s="76"/>
    </row>
    <row r="295" spans="1:1">
      <c r="A295" s="76"/>
    </row>
    <row r="296" spans="1:1">
      <c r="A296" s="76"/>
    </row>
    <row r="297" spans="1:1">
      <c r="A297" s="76"/>
    </row>
    <row r="298" spans="1:1">
      <c r="A298" s="76"/>
    </row>
    <row r="299" spans="1:1">
      <c r="A299" s="76"/>
    </row>
    <row r="300" spans="1:1">
      <c r="A300" s="76"/>
    </row>
    <row r="301" spans="1:1">
      <c r="A301" s="76"/>
    </row>
    <row r="302" spans="1:1">
      <c r="A302" s="76"/>
    </row>
    <row r="303" spans="1:1">
      <c r="A303" s="76"/>
    </row>
    <row r="304" spans="1:1">
      <c r="A304" s="76"/>
    </row>
    <row r="305" spans="1:1">
      <c r="A305" s="76"/>
    </row>
    <row r="306" spans="1:1">
      <c r="A306" s="76"/>
    </row>
    <row r="307" spans="1:1">
      <c r="A307" s="76"/>
    </row>
    <row r="308" spans="1:1">
      <c r="A308" s="76"/>
    </row>
    <row r="309" spans="1:1">
      <c r="A309" s="76"/>
    </row>
    <row r="310" spans="1:1">
      <c r="A310" s="76"/>
    </row>
    <row r="311" spans="1:1">
      <c r="A311" s="76"/>
    </row>
    <row r="312" spans="1:1">
      <c r="A312" s="76"/>
    </row>
    <row r="313" spans="1:1">
      <c r="A313" s="76"/>
    </row>
    <row r="314" spans="1:1">
      <c r="A314" s="76"/>
    </row>
    <row r="315" spans="1:1">
      <c r="A315" s="76"/>
    </row>
    <row r="316" spans="1:1">
      <c r="A316" s="76"/>
    </row>
    <row r="317" spans="1:1">
      <c r="A317" s="76"/>
    </row>
    <row r="318" spans="1:1">
      <c r="A318" s="76"/>
    </row>
    <row r="319" spans="1:1">
      <c r="A319" s="76"/>
    </row>
    <row r="320" spans="1:1">
      <c r="A320" s="76"/>
    </row>
    <row r="321" spans="1:1">
      <c r="A321" s="76"/>
    </row>
    <row r="322" spans="1:1">
      <c r="A322" s="76"/>
    </row>
    <row r="323" spans="1:1">
      <c r="A323" s="76"/>
    </row>
    <row r="324" spans="1:1">
      <c r="A324" s="76"/>
    </row>
    <row r="325" spans="1:1">
      <c r="A325" s="76"/>
    </row>
    <row r="326" spans="1:1">
      <c r="A326" s="76"/>
    </row>
    <row r="327" spans="1:1">
      <c r="A327" s="76"/>
    </row>
    <row r="328" spans="1:1">
      <c r="A328" s="76"/>
    </row>
    <row r="329" spans="1:1">
      <c r="A329" s="76"/>
    </row>
    <row r="330" spans="1:1">
      <c r="A330" s="76"/>
    </row>
    <row r="331" spans="1:1">
      <c r="A331" s="76"/>
    </row>
    <row r="332" spans="1:1">
      <c r="A332" s="76"/>
    </row>
    <row r="333" spans="1:1">
      <c r="A333" s="76"/>
    </row>
    <row r="334" spans="1:1">
      <c r="A334" s="76"/>
    </row>
    <row r="335" spans="1:1">
      <c r="A335" s="76"/>
    </row>
    <row r="336" spans="1:1">
      <c r="A336" s="76"/>
    </row>
    <row r="337" spans="1:1">
      <c r="A337" s="76"/>
    </row>
    <row r="338" spans="1:1">
      <c r="A338" s="76"/>
    </row>
    <row r="339" spans="1:1">
      <c r="A339" s="76"/>
    </row>
    <row r="340" spans="1:1">
      <c r="A340" s="76"/>
    </row>
    <row r="341" spans="1:1">
      <c r="A341" s="76"/>
    </row>
    <row r="342" spans="1:1">
      <c r="A342" s="76"/>
    </row>
    <row r="343" spans="1:1">
      <c r="A343" s="76"/>
    </row>
    <row r="344" spans="1:1">
      <c r="A344" s="76"/>
    </row>
    <row r="345" spans="1:1">
      <c r="A345" s="76"/>
    </row>
    <row r="346" spans="1:1">
      <c r="A346" s="76"/>
    </row>
    <row r="347" spans="1:1">
      <c r="A347" s="76"/>
    </row>
    <row r="348" spans="1:1">
      <c r="A348" s="76"/>
    </row>
    <row r="349" spans="1:1">
      <c r="A349" s="76"/>
    </row>
    <row r="350" spans="1:1">
      <c r="A350" s="76"/>
    </row>
    <row r="351" spans="1:1">
      <c r="A351" s="76"/>
    </row>
    <row r="352" spans="1:1">
      <c r="A352" s="76"/>
    </row>
    <row r="353" spans="1:1">
      <c r="A353" s="76"/>
    </row>
    <row r="354" spans="1:1">
      <c r="A354" s="76"/>
    </row>
    <row r="355" spans="1:1">
      <c r="A355" s="76"/>
    </row>
    <row r="356" spans="1:1">
      <c r="A356" s="76"/>
    </row>
    <row r="357" spans="1:1">
      <c r="A357" s="76"/>
    </row>
    <row r="358" spans="1:1">
      <c r="A358" s="76"/>
    </row>
    <row r="359" spans="1:1">
      <c r="A359" s="76"/>
    </row>
    <row r="360" spans="1:1">
      <c r="A360" s="76"/>
    </row>
    <row r="361" spans="1:1">
      <c r="A361" s="76"/>
    </row>
    <row r="362" spans="1:1">
      <c r="A362" s="76"/>
    </row>
    <row r="363" spans="1:1">
      <c r="A363" s="76"/>
    </row>
    <row r="364" spans="1:1">
      <c r="A364" s="76"/>
    </row>
    <row r="365" spans="1:1">
      <c r="A365" s="76"/>
    </row>
    <row r="366" spans="1:1">
      <c r="A366" s="76"/>
    </row>
    <row r="367" spans="1:1">
      <c r="A367" s="76"/>
    </row>
    <row r="368" spans="1:1">
      <c r="A368" s="76"/>
    </row>
    <row r="369" spans="1:1">
      <c r="A369" s="76"/>
    </row>
    <row r="370" spans="1:1">
      <c r="A370" s="76"/>
    </row>
    <row r="371" spans="1:1">
      <c r="A371" s="76"/>
    </row>
    <row r="372" spans="1:1">
      <c r="A372" s="76"/>
    </row>
    <row r="373" spans="1:1">
      <c r="A373" s="76"/>
    </row>
    <row r="374" spans="1:1">
      <c r="A374" s="76"/>
    </row>
    <row r="375" spans="1:1">
      <c r="A375" s="76"/>
    </row>
    <row r="376" spans="1:1">
      <c r="A376" s="76"/>
    </row>
    <row r="377" spans="1:1">
      <c r="A377" s="76"/>
    </row>
    <row r="378" spans="1:1">
      <c r="A378" s="76"/>
    </row>
    <row r="379" spans="1:1">
      <c r="A379" s="76"/>
    </row>
    <row r="380" spans="1:1">
      <c r="A380" s="76"/>
    </row>
    <row r="381" spans="1:1">
      <c r="A381" s="76"/>
    </row>
    <row r="382" spans="1:1">
      <c r="A382" s="76"/>
    </row>
    <row r="383" spans="1:1">
      <c r="A383" s="76"/>
    </row>
    <row r="384" spans="1:1">
      <c r="A384" s="76"/>
    </row>
    <row r="385" spans="1:1">
      <c r="A385" s="76"/>
    </row>
    <row r="386" spans="1:1">
      <c r="A386" s="76"/>
    </row>
    <row r="387" spans="1:1">
      <c r="A387" s="76"/>
    </row>
    <row r="388" spans="1:1">
      <c r="A388" s="76"/>
    </row>
    <row r="389" spans="1:1">
      <c r="A389" s="76"/>
    </row>
    <row r="390" spans="1:1">
      <c r="A390" s="76"/>
    </row>
    <row r="391" spans="1:1">
      <c r="A391" s="76"/>
    </row>
    <row r="392" spans="1:1">
      <c r="A392" s="76"/>
    </row>
    <row r="393" spans="1:1">
      <c r="A393" s="76"/>
    </row>
    <row r="394" spans="1:1">
      <c r="A394" s="76"/>
    </row>
    <row r="395" spans="1:1">
      <c r="A395" s="76"/>
    </row>
    <row r="396" spans="1:1">
      <c r="A396" s="76"/>
    </row>
    <row r="397" spans="1:1">
      <c r="A397" s="76"/>
    </row>
    <row r="398" spans="1:1">
      <c r="A398" s="76"/>
    </row>
    <row r="399" spans="1:1">
      <c r="A399" s="76"/>
    </row>
    <row r="400" spans="1:1">
      <c r="A400" s="76"/>
    </row>
    <row r="401" spans="1:1">
      <c r="A401" s="76"/>
    </row>
    <row r="402" spans="1:1">
      <c r="A402" s="76"/>
    </row>
    <row r="403" spans="1:1">
      <c r="A403" s="76"/>
    </row>
    <row r="404" spans="1:1">
      <c r="A404" s="76"/>
    </row>
    <row r="405" spans="1:1">
      <c r="A405" s="76"/>
    </row>
    <row r="406" spans="1:1">
      <c r="A406" s="76"/>
    </row>
    <row r="407" spans="1:1">
      <c r="A407" s="76"/>
    </row>
    <row r="408" spans="1:1">
      <c r="A408" s="76"/>
    </row>
    <row r="409" spans="1:1">
      <c r="A409" s="76"/>
    </row>
    <row r="410" spans="1:1">
      <c r="A410" s="76"/>
    </row>
    <row r="411" spans="1:1">
      <c r="A411" s="76"/>
    </row>
    <row r="412" spans="1:1">
      <c r="A412" s="76"/>
    </row>
    <row r="413" spans="1:1">
      <c r="A413" s="76"/>
    </row>
    <row r="414" spans="1:1">
      <c r="A414" s="76"/>
    </row>
    <row r="415" spans="1:1">
      <c r="A415" s="76"/>
    </row>
    <row r="416" spans="1:1">
      <c r="A416" s="76"/>
    </row>
    <row r="417" spans="1:1">
      <c r="A417" s="76"/>
    </row>
    <row r="418" spans="1:1">
      <c r="A418" s="76"/>
    </row>
    <row r="419" spans="1:1">
      <c r="A419" s="76"/>
    </row>
    <row r="420" spans="1:1">
      <c r="A420" s="76"/>
    </row>
    <row r="421" spans="1:1">
      <c r="A421" s="76"/>
    </row>
    <row r="422" spans="1:1">
      <c r="A422" s="76"/>
    </row>
    <row r="423" spans="1:1">
      <c r="A423" s="76"/>
    </row>
    <row r="424" spans="1:1">
      <c r="A424" s="76"/>
    </row>
    <row r="425" spans="1:1">
      <c r="A425" s="76"/>
    </row>
    <row r="426" spans="1:1">
      <c r="A426" s="76"/>
    </row>
    <row r="427" spans="1:1">
      <c r="A427" s="76"/>
    </row>
    <row r="428" spans="1:1">
      <c r="A428" s="76"/>
    </row>
    <row r="429" spans="1:1">
      <c r="A429" s="76"/>
    </row>
    <row r="430" spans="1:1">
      <c r="A430" s="76"/>
    </row>
    <row r="431" spans="1:1">
      <c r="A431" s="76"/>
    </row>
    <row r="432" spans="1:1">
      <c r="A432" s="76"/>
    </row>
    <row r="433" spans="1:1">
      <c r="A433" s="76"/>
    </row>
  </sheetData>
  <mergeCells count="5">
    <mergeCell ref="C210:D210"/>
    <mergeCell ref="C211:D211"/>
    <mergeCell ref="A1:F1"/>
    <mergeCell ref="F210:G210"/>
    <mergeCell ref="F211:G211"/>
  </mergeCells>
  <pageMargins left="0.59055118110236227" right="0.59055118110236227" top="0.39370078740157483" bottom="0.39370078740157483" header="0.19685039370078741" footer="0.19685039370078741"/>
  <pageSetup paperSize="9" scale="59" fitToHeight="14" orientation="portrait" r:id="rId1"/>
  <rowBreaks count="1" manualBreakCount="1">
    <brk id="200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  <pageSetUpPr fitToPage="1"/>
  </sheetPr>
  <dimension ref="A1:W112"/>
  <sheetViews>
    <sheetView view="pageBreakPreview" topLeftCell="A76" zoomScale="60" zoomScaleNormal="60" workbookViewId="0">
      <selection activeCell="K93" sqref="K93"/>
    </sheetView>
  </sheetViews>
  <sheetFormatPr defaultColWidth="9.140625" defaultRowHeight="36" customHeight="1"/>
  <cols>
    <col min="1" max="1" width="8.28515625" style="114" customWidth="1"/>
    <col min="2" max="2" width="26.140625" style="114" customWidth="1"/>
    <col min="3" max="3" width="11.28515625" style="114" customWidth="1"/>
    <col min="4" max="4" width="15.28515625" style="114" customWidth="1"/>
    <col min="5" max="10" width="18.42578125" style="114" customWidth="1"/>
    <col min="11" max="11" width="18.7109375" style="114" customWidth="1"/>
    <col min="12" max="12" width="19" style="114" customWidth="1"/>
    <col min="13" max="16" width="18.42578125" style="114" customWidth="1"/>
    <col min="17" max="17" width="9.140625" style="114"/>
    <col min="18" max="18" width="9.140625" style="173"/>
    <col min="19" max="20" width="9.140625" style="114"/>
    <col min="21" max="21" width="14.140625" style="114" customWidth="1"/>
    <col min="22" max="16384" width="9.140625" style="114"/>
  </cols>
  <sheetData>
    <row r="1" spans="1:23" ht="36" customHeight="1">
      <c r="A1" s="112"/>
      <c r="B1" s="112"/>
      <c r="C1" s="112"/>
      <c r="D1" s="112"/>
      <c r="E1" s="424" t="s">
        <v>421</v>
      </c>
      <c r="F1" s="424"/>
      <c r="G1" s="424"/>
      <c r="H1" s="424"/>
      <c r="I1" s="424"/>
      <c r="J1" s="424"/>
      <c r="K1" s="424"/>
      <c r="L1" s="424"/>
      <c r="M1" s="115"/>
      <c r="N1" s="115"/>
      <c r="O1" s="115"/>
      <c r="P1" s="115"/>
    </row>
    <row r="2" spans="1:23" s="115" customFormat="1" ht="36" customHeight="1">
      <c r="E2" s="424"/>
      <c r="F2" s="424"/>
      <c r="G2" s="424"/>
      <c r="H2" s="424"/>
      <c r="I2" s="424"/>
      <c r="J2" s="424"/>
      <c r="K2" s="424"/>
      <c r="L2" s="424"/>
      <c r="M2" s="114"/>
      <c r="N2" s="114"/>
      <c r="O2" s="114"/>
      <c r="P2" s="113"/>
    </row>
    <row r="3" spans="1:23" ht="36" customHeight="1">
      <c r="A3" s="116"/>
      <c r="B3" s="116"/>
      <c r="C3" s="116"/>
      <c r="D3" s="116"/>
      <c r="E3" s="176"/>
      <c r="F3" s="176"/>
      <c r="G3" s="176"/>
      <c r="H3" s="176"/>
      <c r="I3" s="176"/>
      <c r="J3" s="176"/>
      <c r="P3" s="113" t="s">
        <v>50</v>
      </c>
    </row>
    <row r="4" spans="1:23" ht="96" customHeight="1">
      <c r="A4" s="393" t="s">
        <v>8</v>
      </c>
      <c r="B4" s="393" t="s">
        <v>21</v>
      </c>
      <c r="C4" s="393"/>
      <c r="D4" s="393"/>
      <c r="E4" s="393" t="s">
        <v>131</v>
      </c>
      <c r="F4" s="393"/>
      <c r="G4" s="393" t="s">
        <v>319</v>
      </c>
      <c r="H4" s="393"/>
      <c r="I4" s="393" t="s">
        <v>320</v>
      </c>
      <c r="J4" s="393"/>
      <c r="K4" s="393" t="s">
        <v>321</v>
      </c>
      <c r="L4" s="393"/>
      <c r="M4" s="393" t="s">
        <v>132</v>
      </c>
      <c r="N4" s="393"/>
      <c r="O4" s="393"/>
      <c r="P4" s="393"/>
    </row>
    <row r="5" spans="1:23" ht="73.5" customHeight="1">
      <c r="A5" s="393"/>
      <c r="B5" s="393"/>
      <c r="C5" s="393"/>
      <c r="D5" s="393"/>
      <c r="E5" s="117" t="s">
        <v>518</v>
      </c>
      <c r="F5" s="117" t="s">
        <v>517</v>
      </c>
      <c r="G5" s="117" t="str">
        <f t="shared" ref="G5:N5" si="0">E5</f>
        <v>план на
 2021 рік</v>
      </c>
      <c r="H5" s="117" t="str">
        <f t="shared" si="0"/>
        <v>факт 
за  2021 рік</v>
      </c>
      <c r="I5" s="117" t="str">
        <f t="shared" si="0"/>
        <v>план на
 2021 рік</v>
      </c>
      <c r="J5" s="117" t="str">
        <f t="shared" si="0"/>
        <v>факт 
за  2021 рік</v>
      </c>
      <c r="K5" s="117" t="str">
        <f t="shared" si="0"/>
        <v>план на
 2021 рік</v>
      </c>
      <c r="L5" s="117" t="str">
        <f t="shared" si="0"/>
        <v>факт 
за  2021 рік</v>
      </c>
      <c r="M5" s="117" t="str">
        <f t="shared" si="0"/>
        <v>план на
 2021 рік</v>
      </c>
      <c r="N5" s="117" t="str">
        <f t="shared" si="0"/>
        <v>факт 
за  2021 рік</v>
      </c>
      <c r="O5" s="172" t="s">
        <v>108</v>
      </c>
      <c r="P5" s="172" t="s">
        <v>111</v>
      </c>
    </row>
    <row r="6" spans="1:23" ht="36" customHeight="1">
      <c r="A6" s="172">
        <v>1</v>
      </c>
      <c r="B6" s="393">
        <v>2</v>
      </c>
      <c r="C6" s="393"/>
      <c r="D6" s="393"/>
      <c r="E6" s="172">
        <v>3</v>
      </c>
      <c r="F6" s="172">
        <v>4</v>
      </c>
      <c r="G6" s="172">
        <v>5</v>
      </c>
      <c r="H6" s="172">
        <v>6</v>
      </c>
      <c r="I6" s="172">
        <v>7</v>
      </c>
      <c r="J6" s="172">
        <v>8</v>
      </c>
      <c r="K6" s="4">
        <v>9</v>
      </c>
      <c r="L6" s="4">
        <v>10</v>
      </c>
      <c r="M6" s="4">
        <v>11</v>
      </c>
      <c r="N6" s="4">
        <v>12</v>
      </c>
      <c r="O6" s="4">
        <v>13</v>
      </c>
      <c r="P6" s="4">
        <v>14</v>
      </c>
      <c r="U6" s="174"/>
      <c r="V6" s="173"/>
      <c r="W6" s="173"/>
    </row>
    <row r="7" spans="1:23" ht="42" customHeight="1">
      <c r="A7" s="6" t="s">
        <v>83</v>
      </c>
      <c r="B7" s="425" t="s">
        <v>92</v>
      </c>
      <c r="C7" s="426"/>
      <c r="D7" s="426"/>
      <c r="E7" s="1">
        <f t="shared" ref="E7:G7" si="1">SUM(E9:E26)</f>
        <v>0</v>
      </c>
      <c r="F7" s="1">
        <f t="shared" si="1"/>
        <v>0</v>
      </c>
      <c r="G7" s="1">
        <f t="shared" si="1"/>
        <v>0</v>
      </c>
      <c r="H7" s="1">
        <f>SUM(H8:H32)</f>
        <v>0</v>
      </c>
      <c r="I7" s="1">
        <f t="shared" ref="I7:L7" si="2">SUM(I8:I32)</f>
        <v>136.1</v>
      </c>
      <c r="J7" s="1">
        <f t="shared" si="2"/>
        <v>195.3</v>
      </c>
      <c r="K7" s="1">
        <f t="shared" si="2"/>
        <v>0</v>
      </c>
      <c r="L7" s="1">
        <f t="shared" si="2"/>
        <v>731.69999999999982</v>
      </c>
      <c r="M7" s="1">
        <f>E7+G7+I7+K7</f>
        <v>136.1</v>
      </c>
      <c r="N7" s="1">
        <f>SUM(N8:N32)</f>
        <v>926.99999999999989</v>
      </c>
      <c r="O7" s="1">
        <f t="shared" ref="O7" si="3">N7-M7</f>
        <v>790.89999999999986</v>
      </c>
      <c r="P7" s="1">
        <f t="shared" ref="P7" si="4">(N7/M7)*100</f>
        <v>681.11682586333563</v>
      </c>
      <c r="U7" s="174"/>
      <c r="V7" s="173"/>
      <c r="W7" s="173"/>
    </row>
    <row r="8" spans="1:23" ht="84.75" customHeight="1">
      <c r="A8" s="6"/>
      <c r="B8" s="421" t="s">
        <v>502</v>
      </c>
      <c r="C8" s="422"/>
      <c r="D8" s="423"/>
      <c r="E8" s="1"/>
      <c r="F8" s="1"/>
      <c r="G8" s="1"/>
      <c r="H8" s="1"/>
      <c r="I8" s="5">
        <v>136.1</v>
      </c>
      <c r="J8" s="1"/>
      <c r="K8" s="1"/>
      <c r="L8" s="5"/>
      <c r="M8" s="5">
        <f>E8+G8+I8+K8</f>
        <v>136.1</v>
      </c>
      <c r="N8" s="5">
        <f>F8+H8+J8+L8</f>
        <v>0</v>
      </c>
      <c r="O8" s="1">
        <f t="shared" ref="O8:O71" si="5">N8-M8</f>
        <v>-136.1</v>
      </c>
      <c r="P8" s="354">
        <f t="shared" ref="P8:P71" si="6">(N8/M8)*100</f>
        <v>0</v>
      </c>
      <c r="U8" s="174"/>
      <c r="V8" s="173"/>
      <c r="W8" s="173"/>
    </row>
    <row r="9" spans="1:23" ht="28.5" customHeight="1">
      <c r="A9" s="172"/>
      <c r="B9" s="418" t="s">
        <v>269</v>
      </c>
      <c r="C9" s="419"/>
      <c r="D9" s="420"/>
      <c r="E9" s="5"/>
      <c r="F9" s="5"/>
      <c r="G9" s="5"/>
      <c r="H9" s="5"/>
      <c r="I9" s="5"/>
      <c r="J9" s="5"/>
      <c r="K9" s="118"/>
      <c r="L9" s="118">
        <v>103.7</v>
      </c>
      <c r="M9" s="5"/>
      <c r="N9" s="5">
        <f>F9+H9+J9+L9</f>
        <v>103.7</v>
      </c>
      <c r="O9" s="5">
        <f t="shared" si="5"/>
        <v>103.7</v>
      </c>
      <c r="P9" s="355" t="e">
        <f t="shared" si="6"/>
        <v>#DIV/0!</v>
      </c>
      <c r="U9" s="174"/>
      <c r="V9" s="173"/>
      <c r="W9" s="173"/>
    </row>
    <row r="10" spans="1:23" ht="36" customHeight="1">
      <c r="A10" s="172"/>
      <c r="B10" s="418" t="s">
        <v>270</v>
      </c>
      <c r="C10" s="419"/>
      <c r="D10" s="420"/>
      <c r="E10" s="5"/>
      <c r="F10" s="5"/>
      <c r="G10" s="5"/>
      <c r="H10" s="5"/>
      <c r="I10" s="5"/>
      <c r="J10" s="5">
        <v>64.400000000000006</v>
      </c>
      <c r="K10" s="118"/>
      <c r="L10" s="118"/>
      <c r="M10" s="5"/>
      <c r="N10" s="5">
        <f t="shared" ref="N10:N32" si="7">F10+H10+J10+L10</f>
        <v>64.400000000000006</v>
      </c>
      <c r="O10" s="5">
        <f t="shared" si="5"/>
        <v>64.400000000000006</v>
      </c>
      <c r="P10" s="355" t="e">
        <f t="shared" si="6"/>
        <v>#DIV/0!</v>
      </c>
      <c r="U10" s="174"/>
      <c r="V10" s="173"/>
      <c r="W10" s="173"/>
    </row>
    <row r="11" spans="1:23" ht="29.25" customHeight="1">
      <c r="A11" s="172"/>
      <c r="B11" s="418" t="s">
        <v>271</v>
      </c>
      <c r="C11" s="419"/>
      <c r="D11" s="420"/>
      <c r="E11" s="5"/>
      <c r="F11" s="5"/>
      <c r="G11" s="5"/>
      <c r="H11" s="5"/>
      <c r="I11" s="5"/>
      <c r="J11" s="5">
        <v>22</v>
      </c>
      <c r="K11" s="118"/>
      <c r="L11" s="118"/>
      <c r="M11" s="5"/>
      <c r="N11" s="5">
        <f t="shared" si="7"/>
        <v>22</v>
      </c>
      <c r="O11" s="5">
        <f t="shared" si="5"/>
        <v>22</v>
      </c>
      <c r="P11" s="355" t="e">
        <f t="shared" si="6"/>
        <v>#DIV/0!</v>
      </c>
      <c r="U11" s="174"/>
      <c r="V11" s="173"/>
      <c r="W11" s="173"/>
    </row>
    <row r="12" spans="1:23" ht="36" customHeight="1">
      <c r="A12" s="172"/>
      <c r="B12" s="418" t="s">
        <v>272</v>
      </c>
      <c r="C12" s="419"/>
      <c r="D12" s="420"/>
      <c r="E12" s="5"/>
      <c r="F12" s="5"/>
      <c r="G12" s="5"/>
      <c r="H12" s="5"/>
      <c r="I12" s="5"/>
      <c r="J12" s="5">
        <v>6.4</v>
      </c>
      <c r="K12" s="118"/>
      <c r="L12" s="118"/>
      <c r="M12" s="5"/>
      <c r="N12" s="5">
        <f t="shared" si="7"/>
        <v>6.4</v>
      </c>
      <c r="O12" s="5">
        <f t="shared" si="5"/>
        <v>6.4</v>
      </c>
      <c r="P12" s="355" t="e">
        <f t="shared" si="6"/>
        <v>#DIV/0!</v>
      </c>
      <c r="U12" s="174"/>
      <c r="V12" s="173"/>
      <c r="W12" s="173"/>
    </row>
    <row r="13" spans="1:23" ht="29.25" customHeight="1">
      <c r="A13" s="172"/>
      <c r="B13" s="418" t="s">
        <v>273</v>
      </c>
      <c r="C13" s="419"/>
      <c r="D13" s="420"/>
      <c r="E13" s="5"/>
      <c r="F13" s="5"/>
      <c r="G13" s="5"/>
      <c r="H13" s="5"/>
      <c r="I13" s="5"/>
      <c r="J13" s="5">
        <v>7.2</v>
      </c>
      <c r="K13" s="118"/>
      <c r="L13" s="118"/>
      <c r="M13" s="5"/>
      <c r="N13" s="5">
        <f t="shared" si="7"/>
        <v>7.2</v>
      </c>
      <c r="O13" s="5">
        <f t="shared" si="5"/>
        <v>7.2</v>
      </c>
      <c r="P13" s="355" t="e">
        <f t="shared" si="6"/>
        <v>#DIV/0!</v>
      </c>
      <c r="U13" s="174"/>
      <c r="V13" s="173"/>
      <c r="W13" s="173"/>
    </row>
    <row r="14" spans="1:23" ht="29.25" customHeight="1">
      <c r="A14" s="172"/>
      <c r="B14" s="418" t="s">
        <v>274</v>
      </c>
      <c r="C14" s="419"/>
      <c r="D14" s="420"/>
      <c r="E14" s="5"/>
      <c r="F14" s="5"/>
      <c r="G14" s="5"/>
      <c r="H14" s="5"/>
      <c r="I14" s="5"/>
      <c r="J14" s="5"/>
      <c r="K14" s="118"/>
      <c r="L14" s="118">
        <v>8.1</v>
      </c>
      <c r="M14" s="5"/>
      <c r="N14" s="5">
        <f t="shared" si="7"/>
        <v>8.1</v>
      </c>
      <c r="O14" s="5">
        <f t="shared" si="5"/>
        <v>8.1</v>
      </c>
      <c r="P14" s="355" t="e">
        <f t="shared" si="6"/>
        <v>#DIV/0!</v>
      </c>
      <c r="U14" s="174"/>
      <c r="V14" s="173"/>
      <c r="W14" s="173"/>
    </row>
    <row r="15" spans="1:23" ht="29.25" customHeight="1">
      <c r="A15" s="172"/>
      <c r="B15" s="418" t="s">
        <v>275</v>
      </c>
      <c r="C15" s="419"/>
      <c r="D15" s="420"/>
      <c r="E15" s="5"/>
      <c r="F15" s="5"/>
      <c r="G15" s="5"/>
      <c r="H15" s="5"/>
      <c r="I15" s="5"/>
      <c r="J15" s="5">
        <v>78.7</v>
      </c>
      <c r="K15" s="118"/>
      <c r="L15" s="118"/>
      <c r="M15" s="5"/>
      <c r="N15" s="5">
        <f t="shared" si="7"/>
        <v>78.7</v>
      </c>
      <c r="O15" s="5">
        <f t="shared" si="5"/>
        <v>78.7</v>
      </c>
      <c r="P15" s="355" t="e">
        <f t="shared" si="6"/>
        <v>#DIV/0!</v>
      </c>
      <c r="U15" s="174"/>
      <c r="V15" s="173"/>
      <c r="W15" s="173"/>
    </row>
    <row r="16" spans="1:23" ht="36" customHeight="1">
      <c r="A16" s="172"/>
      <c r="B16" s="418" t="s">
        <v>276</v>
      </c>
      <c r="C16" s="419"/>
      <c r="D16" s="420"/>
      <c r="E16" s="5"/>
      <c r="F16" s="5"/>
      <c r="G16" s="5"/>
      <c r="H16" s="5"/>
      <c r="I16" s="5"/>
      <c r="J16" s="5">
        <v>16.600000000000001</v>
      </c>
      <c r="K16" s="118"/>
      <c r="L16" s="118"/>
      <c r="M16" s="5"/>
      <c r="N16" s="5">
        <f t="shared" si="7"/>
        <v>16.600000000000001</v>
      </c>
      <c r="O16" s="5">
        <f t="shared" si="5"/>
        <v>16.600000000000001</v>
      </c>
      <c r="P16" s="355" t="e">
        <f t="shared" si="6"/>
        <v>#DIV/0!</v>
      </c>
      <c r="U16" s="174"/>
      <c r="V16" s="173"/>
      <c r="W16" s="173"/>
    </row>
    <row r="17" spans="1:23" ht="29.25" customHeight="1">
      <c r="A17" s="172"/>
      <c r="B17" s="418" t="s">
        <v>277</v>
      </c>
      <c r="C17" s="419"/>
      <c r="D17" s="420"/>
      <c r="E17" s="5"/>
      <c r="F17" s="5"/>
      <c r="G17" s="5"/>
      <c r="H17" s="5"/>
      <c r="I17" s="5"/>
      <c r="J17" s="5"/>
      <c r="K17" s="118"/>
      <c r="L17" s="118">
        <v>6</v>
      </c>
      <c r="M17" s="5"/>
      <c r="N17" s="5">
        <f t="shared" si="7"/>
        <v>6</v>
      </c>
      <c r="O17" s="5">
        <f t="shared" si="5"/>
        <v>6</v>
      </c>
      <c r="P17" s="355" t="e">
        <f t="shared" si="6"/>
        <v>#DIV/0!</v>
      </c>
      <c r="U17" s="174"/>
      <c r="V17" s="173"/>
      <c r="W17" s="173"/>
    </row>
    <row r="18" spans="1:23" ht="29.25" customHeight="1">
      <c r="A18" s="172"/>
      <c r="B18" s="418" t="s">
        <v>278</v>
      </c>
      <c r="C18" s="419"/>
      <c r="D18" s="420"/>
      <c r="E18" s="5"/>
      <c r="F18" s="5"/>
      <c r="G18" s="5"/>
      <c r="H18" s="5"/>
      <c r="I18" s="5"/>
      <c r="J18" s="5"/>
      <c r="K18" s="118"/>
      <c r="L18" s="118">
        <v>26.2</v>
      </c>
      <c r="M18" s="5"/>
      <c r="N18" s="5">
        <f t="shared" si="7"/>
        <v>26.2</v>
      </c>
      <c r="O18" s="5">
        <f t="shared" si="5"/>
        <v>26.2</v>
      </c>
      <c r="P18" s="355" t="e">
        <f t="shared" si="6"/>
        <v>#DIV/0!</v>
      </c>
      <c r="U18" s="174"/>
      <c r="V18" s="173"/>
      <c r="W18" s="173"/>
    </row>
    <row r="19" spans="1:23" ht="29.25" customHeight="1">
      <c r="A19" s="172"/>
      <c r="B19" s="418" t="s">
        <v>279</v>
      </c>
      <c r="C19" s="419"/>
      <c r="D19" s="420"/>
      <c r="E19" s="5"/>
      <c r="F19" s="5"/>
      <c r="G19" s="5"/>
      <c r="H19" s="5"/>
      <c r="I19" s="5"/>
      <c r="J19" s="5"/>
      <c r="K19" s="118"/>
      <c r="L19" s="118">
        <f>42.8+260</f>
        <v>302.8</v>
      </c>
      <c r="M19" s="5"/>
      <c r="N19" s="5">
        <f t="shared" si="7"/>
        <v>302.8</v>
      </c>
      <c r="O19" s="5">
        <f t="shared" si="5"/>
        <v>302.8</v>
      </c>
      <c r="P19" s="355" t="e">
        <f t="shared" si="6"/>
        <v>#DIV/0!</v>
      </c>
      <c r="U19" s="174"/>
      <c r="V19" s="173"/>
      <c r="W19" s="173"/>
    </row>
    <row r="20" spans="1:23" ht="36" customHeight="1">
      <c r="A20" s="172"/>
      <c r="B20" s="418" t="s">
        <v>280</v>
      </c>
      <c r="C20" s="419"/>
      <c r="D20" s="420"/>
      <c r="E20" s="5"/>
      <c r="F20" s="5"/>
      <c r="G20" s="5"/>
      <c r="H20" s="5"/>
      <c r="I20" s="5"/>
      <c r="J20" s="5"/>
      <c r="K20" s="118"/>
      <c r="L20" s="118">
        <v>28.2</v>
      </c>
      <c r="M20" s="5"/>
      <c r="N20" s="5">
        <f t="shared" si="7"/>
        <v>28.2</v>
      </c>
      <c r="O20" s="5">
        <f t="shared" si="5"/>
        <v>28.2</v>
      </c>
      <c r="P20" s="355" t="e">
        <f t="shared" si="6"/>
        <v>#DIV/0!</v>
      </c>
      <c r="U20" s="174"/>
      <c r="V20" s="173"/>
      <c r="W20" s="173"/>
    </row>
    <row r="21" spans="1:23" ht="29.25" customHeight="1">
      <c r="A21" s="172"/>
      <c r="B21" s="418" t="s">
        <v>281</v>
      </c>
      <c r="C21" s="419"/>
      <c r="D21" s="420"/>
      <c r="E21" s="5"/>
      <c r="F21" s="5"/>
      <c r="G21" s="5"/>
      <c r="H21" s="5"/>
      <c r="I21" s="5"/>
      <c r="J21" s="5"/>
      <c r="K21" s="118"/>
      <c r="L21" s="118">
        <v>17.899999999999999</v>
      </c>
      <c r="M21" s="5"/>
      <c r="N21" s="5">
        <f t="shared" si="7"/>
        <v>17.899999999999999</v>
      </c>
      <c r="O21" s="5">
        <f t="shared" si="5"/>
        <v>17.899999999999999</v>
      </c>
      <c r="P21" s="355" t="e">
        <f t="shared" si="6"/>
        <v>#DIV/0!</v>
      </c>
      <c r="U21" s="174"/>
      <c r="V21" s="173"/>
      <c r="W21" s="173"/>
    </row>
    <row r="22" spans="1:23" ht="29.25" customHeight="1">
      <c r="A22" s="172"/>
      <c r="B22" s="421" t="s">
        <v>422</v>
      </c>
      <c r="C22" s="422"/>
      <c r="D22" s="423"/>
      <c r="E22" s="5"/>
      <c r="F22" s="5"/>
      <c r="G22" s="5"/>
      <c r="H22" s="5"/>
      <c r="I22" s="5"/>
      <c r="J22" s="5"/>
      <c r="K22" s="118"/>
      <c r="L22" s="118">
        <v>7.5</v>
      </c>
      <c r="M22" s="5"/>
      <c r="N22" s="5">
        <f t="shared" si="7"/>
        <v>7.5</v>
      </c>
      <c r="O22" s="5">
        <f t="shared" si="5"/>
        <v>7.5</v>
      </c>
      <c r="P22" s="355" t="e">
        <f t="shared" si="6"/>
        <v>#DIV/0!</v>
      </c>
      <c r="U22" s="174"/>
      <c r="V22" s="173"/>
      <c r="W22" s="173"/>
    </row>
    <row r="23" spans="1:23" ht="29.25" customHeight="1">
      <c r="A23" s="172"/>
      <c r="B23" s="421" t="s">
        <v>423</v>
      </c>
      <c r="C23" s="422"/>
      <c r="D23" s="423"/>
      <c r="E23" s="5"/>
      <c r="F23" s="5"/>
      <c r="G23" s="5"/>
      <c r="H23" s="5"/>
      <c r="I23" s="5"/>
      <c r="J23" s="5"/>
      <c r="K23" s="118"/>
      <c r="L23" s="118">
        <v>13.6</v>
      </c>
      <c r="M23" s="5"/>
      <c r="N23" s="5">
        <f t="shared" si="7"/>
        <v>13.6</v>
      </c>
      <c r="O23" s="5">
        <f t="shared" si="5"/>
        <v>13.6</v>
      </c>
      <c r="P23" s="355" t="e">
        <f t="shared" si="6"/>
        <v>#DIV/0!</v>
      </c>
      <c r="U23" s="173"/>
      <c r="V23" s="173"/>
      <c r="W23" s="173"/>
    </row>
    <row r="24" spans="1:23" ht="28.5" customHeight="1">
      <c r="A24" s="172"/>
      <c r="B24" s="428" t="s">
        <v>519</v>
      </c>
      <c r="C24" s="429"/>
      <c r="D24" s="430"/>
      <c r="E24" s="5"/>
      <c r="F24" s="5"/>
      <c r="G24" s="5"/>
      <c r="H24" s="5"/>
      <c r="I24" s="5"/>
      <c r="J24" s="5"/>
      <c r="K24" s="118"/>
      <c r="L24" s="118">
        <v>12.4</v>
      </c>
      <c r="M24" s="5"/>
      <c r="N24" s="5">
        <f t="shared" si="7"/>
        <v>12.4</v>
      </c>
      <c r="O24" s="5">
        <f t="shared" si="5"/>
        <v>12.4</v>
      </c>
      <c r="P24" s="355" t="e">
        <f t="shared" si="6"/>
        <v>#DIV/0!</v>
      </c>
    </row>
    <row r="25" spans="1:23" ht="28.5" customHeight="1">
      <c r="A25" s="172"/>
      <c r="B25" s="428" t="s">
        <v>503</v>
      </c>
      <c r="C25" s="429"/>
      <c r="D25" s="430"/>
      <c r="E25" s="5"/>
      <c r="F25" s="5"/>
      <c r="G25" s="5"/>
      <c r="H25" s="5"/>
      <c r="I25" s="5"/>
      <c r="J25" s="5"/>
      <c r="K25" s="118"/>
      <c r="L25" s="118">
        <v>33</v>
      </c>
      <c r="M25" s="5"/>
      <c r="N25" s="5">
        <f t="shared" si="7"/>
        <v>33</v>
      </c>
      <c r="O25" s="5">
        <f t="shared" si="5"/>
        <v>33</v>
      </c>
      <c r="P25" s="355" t="e">
        <f t="shared" si="6"/>
        <v>#DIV/0!</v>
      </c>
    </row>
    <row r="26" spans="1:23" ht="29.25" customHeight="1">
      <c r="A26" s="172"/>
      <c r="B26" s="421" t="s">
        <v>424</v>
      </c>
      <c r="C26" s="422"/>
      <c r="D26" s="423"/>
      <c r="E26" s="5"/>
      <c r="F26" s="5"/>
      <c r="G26" s="5"/>
      <c r="H26" s="5"/>
      <c r="I26" s="5"/>
      <c r="J26" s="5"/>
      <c r="K26" s="118"/>
      <c r="L26" s="118">
        <v>58.5</v>
      </c>
      <c r="M26" s="5"/>
      <c r="N26" s="5">
        <f t="shared" si="7"/>
        <v>58.5</v>
      </c>
      <c r="O26" s="5">
        <f t="shared" si="5"/>
        <v>58.5</v>
      </c>
      <c r="P26" s="355" t="e">
        <f t="shared" si="6"/>
        <v>#DIV/0!</v>
      </c>
    </row>
    <row r="27" spans="1:23" ht="28.5" customHeight="1">
      <c r="A27" s="181"/>
      <c r="B27" s="428" t="s">
        <v>571</v>
      </c>
      <c r="C27" s="429"/>
      <c r="D27" s="430"/>
      <c r="E27" s="5"/>
      <c r="F27" s="5"/>
      <c r="G27" s="5"/>
      <c r="H27" s="5"/>
      <c r="I27" s="5"/>
      <c r="J27" s="5"/>
      <c r="K27" s="118"/>
      <c r="L27" s="118">
        <v>7.5</v>
      </c>
      <c r="M27" s="5"/>
      <c r="N27" s="5">
        <f t="shared" si="7"/>
        <v>7.5</v>
      </c>
      <c r="O27" s="5">
        <f t="shared" si="5"/>
        <v>7.5</v>
      </c>
      <c r="P27" s="355" t="e">
        <f t="shared" si="6"/>
        <v>#DIV/0!</v>
      </c>
    </row>
    <row r="28" spans="1:23" ht="28.5" customHeight="1">
      <c r="A28" s="181"/>
      <c r="B28" s="428" t="s">
        <v>576</v>
      </c>
      <c r="C28" s="429"/>
      <c r="D28" s="430"/>
      <c r="E28" s="5"/>
      <c r="F28" s="5"/>
      <c r="G28" s="5"/>
      <c r="H28" s="5"/>
      <c r="I28" s="5"/>
      <c r="J28" s="5"/>
      <c r="K28" s="118"/>
      <c r="L28" s="118">
        <v>7.8</v>
      </c>
      <c r="M28" s="5"/>
      <c r="N28" s="5">
        <f t="shared" si="7"/>
        <v>7.8</v>
      </c>
      <c r="O28" s="5">
        <f t="shared" si="5"/>
        <v>7.8</v>
      </c>
      <c r="P28" s="355" t="e">
        <f t="shared" si="6"/>
        <v>#DIV/0!</v>
      </c>
    </row>
    <row r="29" spans="1:23" ht="28.5" customHeight="1">
      <c r="A29" s="181"/>
      <c r="B29" s="428" t="s">
        <v>572</v>
      </c>
      <c r="C29" s="429"/>
      <c r="D29" s="430"/>
      <c r="E29" s="5"/>
      <c r="F29" s="5"/>
      <c r="G29" s="5"/>
      <c r="H29" s="5"/>
      <c r="I29" s="5"/>
      <c r="J29" s="5"/>
      <c r="K29" s="118"/>
      <c r="L29" s="118">
        <v>0.4</v>
      </c>
      <c r="M29" s="5"/>
      <c r="N29" s="5">
        <f t="shared" si="7"/>
        <v>0.4</v>
      </c>
      <c r="O29" s="5">
        <f t="shared" si="5"/>
        <v>0.4</v>
      </c>
      <c r="P29" s="355" t="e">
        <f t="shared" si="6"/>
        <v>#DIV/0!</v>
      </c>
    </row>
    <row r="30" spans="1:23" ht="28.5" customHeight="1">
      <c r="A30" s="181"/>
      <c r="B30" s="428" t="s">
        <v>573</v>
      </c>
      <c r="C30" s="429"/>
      <c r="D30" s="430"/>
      <c r="E30" s="5"/>
      <c r="F30" s="5"/>
      <c r="G30" s="5"/>
      <c r="H30" s="5"/>
      <c r="I30" s="5"/>
      <c r="J30" s="5"/>
      <c r="K30" s="118"/>
      <c r="L30" s="118">
        <v>7.8</v>
      </c>
      <c r="M30" s="5"/>
      <c r="N30" s="5">
        <f t="shared" si="7"/>
        <v>7.8</v>
      </c>
      <c r="O30" s="5">
        <f t="shared" si="5"/>
        <v>7.8</v>
      </c>
      <c r="P30" s="355" t="e">
        <f t="shared" si="6"/>
        <v>#DIV/0!</v>
      </c>
    </row>
    <row r="31" spans="1:23" ht="28.5" customHeight="1">
      <c r="A31" s="181"/>
      <c r="B31" s="428" t="s">
        <v>573</v>
      </c>
      <c r="C31" s="429"/>
      <c r="D31" s="430"/>
      <c r="E31" s="5"/>
      <c r="F31" s="5"/>
      <c r="G31" s="5"/>
      <c r="H31" s="5"/>
      <c r="I31" s="5"/>
      <c r="J31" s="5"/>
      <c r="K31" s="118"/>
      <c r="L31" s="118">
        <v>0.8</v>
      </c>
      <c r="M31" s="5"/>
      <c r="N31" s="5">
        <f t="shared" si="7"/>
        <v>0.8</v>
      </c>
      <c r="O31" s="5">
        <f t="shared" si="5"/>
        <v>0.8</v>
      </c>
      <c r="P31" s="355" t="e">
        <f t="shared" si="6"/>
        <v>#DIV/0!</v>
      </c>
    </row>
    <row r="32" spans="1:23" ht="28.5" customHeight="1">
      <c r="A32" s="181"/>
      <c r="B32" s="428" t="s">
        <v>574</v>
      </c>
      <c r="C32" s="429"/>
      <c r="D32" s="430"/>
      <c r="E32" s="5"/>
      <c r="F32" s="5"/>
      <c r="G32" s="5"/>
      <c r="H32" s="5"/>
      <c r="I32" s="5"/>
      <c r="J32" s="5"/>
      <c r="K32" s="118"/>
      <c r="L32" s="118">
        <v>89.5</v>
      </c>
      <c r="M32" s="5"/>
      <c r="N32" s="5">
        <f t="shared" si="7"/>
        <v>89.5</v>
      </c>
      <c r="O32" s="5">
        <f t="shared" si="5"/>
        <v>89.5</v>
      </c>
      <c r="P32" s="355" t="e">
        <f t="shared" si="6"/>
        <v>#DIV/0!</v>
      </c>
    </row>
    <row r="33" spans="1:18" ht="72" customHeight="1">
      <c r="A33" s="6" t="s">
        <v>581</v>
      </c>
      <c r="B33" s="425" t="s">
        <v>93</v>
      </c>
      <c r="C33" s="426"/>
      <c r="D33" s="427"/>
      <c r="E33" s="1">
        <f>SUM(E34:E84)</f>
        <v>0</v>
      </c>
      <c r="F33" s="1">
        <f t="shared" ref="F33:L33" si="8">SUM(F34:F84)</f>
        <v>0</v>
      </c>
      <c r="G33" s="1">
        <f t="shared" si="8"/>
        <v>0</v>
      </c>
      <c r="H33" s="1">
        <f t="shared" si="8"/>
        <v>0</v>
      </c>
      <c r="I33" s="1">
        <f t="shared" si="8"/>
        <v>0</v>
      </c>
      <c r="J33" s="1">
        <f>SUM(J34:J89)</f>
        <v>119.19999999999999</v>
      </c>
      <c r="K33" s="1">
        <f t="shared" si="8"/>
        <v>0</v>
      </c>
      <c r="L33" s="1">
        <f t="shared" si="8"/>
        <v>178.49999999999994</v>
      </c>
      <c r="M33" s="1"/>
      <c r="N33" s="1">
        <f>SUM(N34:N89)</f>
        <v>297.7</v>
      </c>
      <c r="O33" s="1">
        <f t="shared" si="5"/>
        <v>297.7</v>
      </c>
      <c r="P33" s="354" t="e">
        <f t="shared" si="6"/>
        <v>#DIV/0!</v>
      </c>
    </row>
    <row r="34" spans="1:18" ht="42" customHeight="1">
      <c r="A34" s="172"/>
      <c r="B34" s="428" t="s">
        <v>285</v>
      </c>
      <c r="C34" s="429"/>
      <c r="D34" s="430"/>
      <c r="E34" s="5"/>
      <c r="F34" s="5"/>
      <c r="G34" s="5"/>
      <c r="H34" s="5"/>
      <c r="I34" s="5"/>
      <c r="J34" s="5"/>
      <c r="K34" s="118"/>
      <c r="L34" s="118">
        <v>5.8</v>
      </c>
      <c r="M34" s="5"/>
      <c r="N34" s="5">
        <f>F34+H34+J34+L34</f>
        <v>5.8</v>
      </c>
      <c r="O34" s="5">
        <f t="shared" si="5"/>
        <v>5.8</v>
      </c>
      <c r="P34" s="355" t="e">
        <f t="shared" si="6"/>
        <v>#DIV/0!</v>
      </c>
      <c r="R34" s="174"/>
    </row>
    <row r="35" spans="1:18" ht="40.5" customHeight="1">
      <c r="A35" s="172"/>
      <c r="B35" s="428" t="s">
        <v>286</v>
      </c>
      <c r="C35" s="429"/>
      <c r="D35" s="430"/>
      <c r="E35" s="5"/>
      <c r="F35" s="5"/>
      <c r="G35" s="5"/>
      <c r="H35" s="5"/>
      <c r="I35" s="5"/>
      <c r="J35" s="5">
        <v>0.5</v>
      </c>
      <c r="K35" s="118"/>
      <c r="L35" s="118"/>
      <c r="M35" s="5"/>
      <c r="N35" s="5">
        <f t="shared" ref="N35:N92" si="9">F35+H35+J35+L35</f>
        <v>0.5</v>
      </c>
      <c r="O35" s="5">
        <f t="shared" si="5"/>
        <v>0.5</v>
      </c>
      <c r="P35" s="355" t="e">
        <f t="shared" si="6"/>
        <v>#DIV/0!</v>
      </c>
      <c r="R35" s="174"/>
    </row>
    <row r="36" spans="1:18" ht="29.25" customHeight="1">
      <c r="A36" s="172"/>
      <c r="B36" s="428" t="s">
        <v>287</v>
      </c>
      <c r="C36" s="429"/>
      <c r="D36" s="430"/>
      <c r="E36" s="5"/>
      <c r="F36" s="5"/>
      <c r="G36" s="5"/>
      <c r="H36" s="5"/>
      <c r="I36" s="5"/>
      <c r="J36" s="5">
        <v>5.2</v>
      </c>
      <c r="K36" s="118"/>
      <c r="L36" s="118"/>
      <c r="M36" s="5"/>
      <c r="N36" s="5">
        <f t="shared" si="9"/>
        <v>5.2</v>
      </c>
      <c r="O36" s="5">
        <f t="shared" si="5"/>
        <v>5.2</v>
      </c>
      <c r="P36" s="355" t="e">
        <f t="shared" si="6"/>
        <v>#DIV/0!</v>
      </c>
      <c r="R36" s="174"/>
    </row>
    <row r="37" spans="1:18" ht="63" customHeight="1">
      <c r="A37" s="172"/>
      <c r="B37" s="428" t="s">
        <v>288</v>
      </c>
      <c r="C37" s="429"/>
      <c r="D37" s="430"/>
      <c r="E37" s="5"/>
      <c r="F37" s="5"/>
      <c r="G37" s="5"/>
      <c r="H37" s="5"/>
      <c r="I37" s="5"/>
      <c r="J37" s="5">
        <v>0.7</v>
      </c>
      <c r="K37" s="118"/>
      <c r="L37" s="118"/>
      <c r="M37" s="5"/>
      <c r="N37" s="5">
        <f t="shared" si="9"/>
        <v>0.7</v>
      </c>
      <c r="O37" s="5">
        <f t="shared" si="5"/>
        <v>0.7</v>
      </c>
      <c r="P37" s="355" t="e">
        <f t="shared" si="6"/>
        <v>#DIV/0!</v>
      </c>
      <c r="R37" s="174"/>
    </row>
    <row r="38" spans="1:18" ht="28.5" customHeight="1">
      <c r="A38" s="172"/>
      <c r="B38" s="428" t="s">
        <v>289</v>
      </c>
      <c r="C38" s="429"/>
      <c r="D38" s="430"/>
      <c r="E38" s="5"/>
      <c r="F38" s="5"/>
      <c r="G38" s="5"/>
      <c r="H38" s="5"/>
      <c r="I38" s="5"/>
      <c r="J38" s="5">
        <v>5</v>
      </c>
      <c r="K38" s="118"/>
      <c r="L38" s="118"/>
      <c r="M38" s="5"/>
      <c r="N38" s="5">
        <f t="shared" si="9"/>
        <v>5</v>
      </c>
      <c r="O38" s="5">
        <f t="shared" si="5"/>
        <v>5</v>
      </c>
      <c r="P38" s="355" t="e">
        <f t="shared" si="6"/>
        <v>#DIV/0!</v>
      </c>
      <c r="R38" s="174"/>
    </row>
    <row r="39" spans="1:18" ht="43.5" customHeight="1">
      <c r="A39" s="172"/>
      <c r="B39" s="428" t="s">
        <v>290</v>
      </c>
      <c r="C39" s="429"/>
      <c r="D39" s="430"/>
      <c r="E39" s="5"/>
      <c r="F39" s="5"/>
      <c r="G39" s="5"/>
      <c r="H39" s="5"/>
      <c r="I39" s="5"/>
      <c r="J39" s="5">
        <v>25.2</v>
      </c>
      <c r="K39" s="118"/>
      <c r="L39" s="118"/>
      <c r="M39" s="5"/>
      <c r="N39" s="5">
        <f t="shared" si="9"/>
        <v>25.2</v>
      </c>
      <c r="O39" s="5">
        <f t="shared" si="5"/>
        <v>25.2</v>
      </c>
      <c r="P39" s="355" t="e">
        <f t="shared" si="6"/>
        <v>#DIV/0!</v>
      </c>
      <c r="R39" s="174"/>
    </row>
    <row r="40" spans="1:18" ht="28.5" customHeight="1">
      <c r="A40" s="172"/>
      <c r="B40" s="428" t="s">
        <v>291</v>
      </c>
      <c r="C40" s="429"/>
      <c r="D40" s="430"/>
      <c r="E40" s="5"/>
      <c r="F40" s="5"/>
      <c r="G40" s="5"/>
      <c r="H40" s="5"/>
      <c r="I40" s="5"/>
      <c r="J40" s="5">
        <v>16.8</v>
      </c>
      <c r="K40" s="118"/>
      <c r="L40" s="118"/>
      <c r="M40" s="5"/>
      <c r="N40" s="5">
        <f t="shared" si="9"/>
        <v>16.8</v>
      </c>
      <c r="O40" s="5">
        <f t="shared" si="5"/>
        <v>16.8</v>
      </c>
      <c r="P40" s="355" t="e">
        <f t="shared" si="6"/>
        <v>#DIV/0!</v>
      </c>
      <c r="R40" s="174"/>
    </row>
    <row r="41" spans="1:18" ht="29.25" customHeight="1">
      <c r="A41" s="172"/>
      <c r="B41" s="428" t="s">
        <v>292</v>
      </c>
      <c r="C41" s="429"/>
      <c r="D41" s="430"/>
      <c r="E41" s="5"/>
      <c r="F41" s="5"/>
      <c r="G41" s="5"/>
      <c r="H41" s="5"/>
      <c r="I41" s="5"/>
      <c r="J41" s="5">
        <v>1.3</v>
      </c>
      <c r="K41" s="118"/>
      <c r="L41" s="118"/>
      <c r="M41" s="5"/>
      <c r="N41" s="5">
        <f t="shared" si="9"/>
        <v>1.3</v>
      </c>
      <c r="O41" s="5">
        <f t="shared" si="5"/>
        <v>1.3</v>
      </c>
      <c r="P41" s="355" t="e">
        <f t="shared" si="6"/>
        <v>#DIV/0!</v>
      </c>
      <c r="R41" s="174"/>
    </row>
    <row r="42" spans="1:18" ht="28.5" customHeight="1">
      <c r="A42" s="172"/>
      <c r="B42" s="428" t="s">
        <v>293</v>
      </c>
      <c r="C42" s="429"/>
      <c r="D42" s="430"/>
      <c r="E42" s="5"/>
      <c r="F42" s="5"/>
      <c r="G42" s="5"/>
      <c r="H42" s="5"/>
      <c r="I42" s="5"/>
      <c r="J42" s="5">
        <v>4.9000000000000004</v>
      </c>
      <c r="K42" s="118"/>
      <c r="L42" s="118"/>
      <c r="M42" s="5"/>
      <c r="N42" s="5">
        <f t="shared" si="9"/>
        <v>4.9000000000000004</v>
      </c>
      <c r="O42" s="5">
        <f t="shared" si="5"/>
        <v>4.9000000000000004</v>
      </c>
      <c r="P42" s="355" t="e">
        <f t="shared" si="6"/>
        <v>#DIV/0!</v>
      </c>
      <c r="R42" s="174"/>
    </row>
    <row r="43" spans="1:18" ht="29.25" customHeight="1">
      <c r="A43" s="172"/>
      <c r="B43" s="428" t="s">
        <v>294</v>
      </c>
      <c r="C43" s="429"/>
      <c r="D43" s="430"/>
      <c r="E43" s="5"/>
      <c r="F43" s="5"/>
      <c r="G43" s="5"/>
      <c r="H43" s="5"/>
      <c r="I43" s="5"/>
      <c r="J43" s="5">
        <v>2.2999999999999998</v>
      </c>
      <c r="K43" s="118"/>
      <c r="L43" s="118"/>
      <c r="M43" s="5"/>
      <c r="N43" s="5">
        <f t="shared" si="9"/>
        <v>2.2999999999999998</v>
      </c>
      <c r="O43" s="5">
        <f t="shared" si="5"/>
        <v>2.2999999999999998</v>
      </c>
      <c r="P43" s="355" t="e">
        <f t="shared" si="6"/>
        <v>#DIV/0!</v>
      </c>
      <c r="R43" s="174"/>
    </row>
    <row r="44" spans="1:18" ht="28.5" customHeight="1">
      <c r="A44" s="172"/>
      <c r="B44" s="428" t="s">
        <v>295</v>
      </c>
      <c r="C44" s="429"/>
      <c r="D44" s="430"/>
      <c r="E44" s="5"/>
      <c r="F44" s="5"/>
      <c r="G44" s="5"/>
      <c r="H44" s="5"/>
      <c r="I44" s="5"/>
      <c r="J44" s="5">
        <v>0.4</v>
      </c>
      <c r="K44" s="118"/>
      <c r="L44" s="118"/>
      <c r="M44" s="5"/>
      <c r="N44" s="5">
        <f t="shared" si="9"/>
        <v>0.4</v>
      </c>
      <c r="O44" s="5">
        <f t="shared" si="5"/>
        <v>0.4</v>
      </c>
      <c r="P44" s="355" t="e">
        <f t="shared" si="6"/>
        <v>#DIV/0!</v>
      </c>
      <c r="R44" s="174"/>
    </row>
    <row r="45" spans="1:18" ht="42" customHeight="1">
      <c r="A45" s="172"/>
      <c r="B45" s="428" t="s">
        <v>296</v>
      </c>
      <c r="C45" s="429"/>
      <c r="D45" s="430"/>
      <c r="E45" s="5"/>
      <c r="F45" s="5"/>
      <c r="G45" s="5"/>
      <c r="H45" s="5"/>
      <c r="I45" s="5"/>
      <c r="J45" s="5">
        <v>4.8</v>
      </c>
      <c r="K45" s="118"/>
      <c r="L45" s="118"/>
      <c r="M45" s="5"/>
      <c r="N45" s="5">
        <f t="shared" si="9"/>
        <v>4.8</v>
      </c>
      <c r="O45" s="5">
        <f t="shared" si="5"/>
        <v>4.8</v>
      </c>
      <c r="P45" s="355" t="e">
        <f t="shared" si="6"/>
        <v>#DIV/0!</v>
      </c>
      <c r="R45" s="174"/>
    </row>
    <row r="46" spans="1:18" ht="28.5" customHeight="1">
      <c r="A46" s="172"/>
      <c r="B46" s="428" t="s">
        <v>297</v>
      </c>
      <c r="C46" s="429"/>
      <c r="D46" s="430"/>
      <c r="E46" s="5"/>
      <c r="F46" s="5"/>
      <c r="G46" s="5"/>
      <c r="H46" s="5"/>
      <c r="I46" s="5"/>
      <c r="J46" s="5">
        <v>6.2</v>
      </c>
      <c r="K46" s="118"/>
      <c r="L46" s="118"/>
      <c r="M46" s="5"/>
      <c r="N46" s="5">
        <f t="shared" si="9"/>
        <v>6.2</v>
      </c>
      <c r="O46" s="5">
        <f t="shared" si="5"/>
        <v>6.2</v>
      </c>
      <c r="P46" s="355" t="e">
        <f t="shared" si="6"/>
        <v>#DIV/0!</v>
      </c>
      <c r="R46" s="174"/>
    </row>
    <row r="47" spans="1:18" ht="29.25" customHeight="1">
      <c r="A47" s="172"/>
      <c r="B47" s="428" t="s">
        <v>298</v>
      </c>
      <c r="C47" s="429"/>
      <c r="D47" s="430"/>
      <c r="E47" s="5"/>
      <c r="F47" s="5"/>
      <c r="G47" s="5"/>
      <c r="H47" s="5"/>
      <c r="I47" s="5"/>
      <c r="J47" s="5">
        <v>1.5</v>
      </c>
      <c r="K47" s="118"/>
      <c r="L47" s="118"/>
      <c r="M47" s="5"/>
      <c r="N47" s="5">
        <f t="shared" si="9"/>
        <v>1.5</v>
      </c>
      <c r="O47" s="5">
        <f t="shared" si="5"/>
        <v>1.5</v>
      </c>
      <c r="P47" s="355" t="e">
        <f t="shared" si="6"/>
        <v>#DIV/0!</v>
      </c>
      <c r="R47" s="174"/>
    </row>
    <row r="48" spans="1:18" ht="32.25" customHeight="1">
      <c r="A48" s="172"/>
      <c r="B48" s="428" t="s">
        <v>299</v>
      </c>
      <c r="C48" s="429"/>
      <c r="D48" s="430"/>
      <c r="E48" s="5"/>
      <c r="F48" s="5"/>
      <c r="G48" s="5"/>
      <c r="H48" s="5"/>
      <c r="I48" s="5"/>
      <c r="J48" s="5">
        <v>9.9</v>
      </c>
      <c r="K48" s="118"/>
      <c r="L48" s="118"/>
      <c r="M48" s="5"/>
      <c r="N48" s="5">
        <f t="shared" si="9"/>
        <v>9.9</v>
      </c>
      <c r="O48" s="5">
        <f t="shared" si="5"/>
        <v>9.9</v>
      </c>
      <c r="P48" s="355" t="e">
        <f t="shared" si="6"/>
        <v>#DIV/0!</v>
      </c>
      <c r="R48" s="174"/>
    </row>
    <row r="49" spans="1:18" ht="29.25" customHeight="1">
      <c r="A49" s="172"/>
      <c r="B49" s="428" t="s">
        <v>300</v>
      </c>
      <c r="C49" s="429"/>
      <c r="D49" s="430"/>
      <c r="E49" s="5"/>
      <c r="F49" s="5"/>
      <c r="G49" s="5"/>
      <c r="H49" s="5"/>
      <c r="I49" s="5"/>
      <c r="J49" s="5">
        <v>4.5</v>
      </c>
      <c r="K49" s="118"/>
      <c r="L49" s="118"/>
      <c r="M49" s="5"/>
      <c r="N49" s="5">
        <f t="shared" si="9"/>
        <v>4.5</v>
      </c>
      <c r="O49" s="5">
        <f t="shared" si="5"/>
        <v>4.5</v>
      </c>
      <c r="P49" s="355" t="e">
        <f t="shared" si="6"/>
        <v>#DIV/0!</v>
      </c>
      <c r="R49" s="174"/>
    </row>
    <row r="50" spans="1:18" ht="46.5" customHeight="1">
      <c r="A50" s="172"/>
      <c r="B50" s="428" t="s">
        <v>301</v>
      </c>
      <c r="C50" s="429"/>
      <c r="D50" s="430"/>
      <c r="E50" s="5"/>
      <c r="F50" s="5"/>
      <c r="G50" s="5"/>
      <c r="H50" s="5"/>
      <c r="I50" s="5"/>
      <c r="J50" s="5">
        <v>3.1</v>
      </c>
      <c r="K50" s="118"/>
      <c r="L50" s="118"/>
      <c r="M50" s="5"/>
      <c r="N50" s="5">
        <f t="shared" si="9"/>
        <v>3.1</v>
      </c>
      <c r="O50" s="5">
        <f t="shared" si="5"/>
        <v>3.1</v>
      </c>
      <c r="P50" s="355" t="e">
        <f t="shared" si="6"/>
        <v>#DIV/0!</v>
      </c>
      <c r="R50" s="174"/>
    </row>
    <row r="51" spans="1:18" ht="28.5" customHeight="1">
      <c r="A51" s="172"/>
      <c r="B51" s="428" t="s">
        <v>302</v>
      </c>
      <c r="C51" s="429"/>
      <c r="D51" s="430"/>
      <c r="E51" s="5"/>
      <c r="F51" s="5"/>
      <c r="G51" s="5"/>
      <c r="H51" s="5"/>
      <c r="I51" s="5"/>
      <c r="J51" s="5"/>
      <c r="K51" s="118"/>
      <c r="L51" s="118">
        <v>1.6</v>
      </c>
      <c r="M51" s="5"/>
      <c r="N51" s="5">
        <f t="shared" si="9"/>
        <v>1.6</v>
      </c>
      <c r="O51" s="5">
        <f t="shared" si="5"/>
        <v>1.6</v>
      </c>
      <c r="P51" s="355" t="e">
        <f t="shared" si="6"/>
        <v>#DIV/0!</v>
      </c>
      <c r="R51" s="174"/>
    </row>
    <row r="52" spans="1:18" ht="29.25" customHeight="1">
      <c r="A52" s="172"/>
      <c r="B52" s="428" t="s">
        <v>303</v>
      </c>
      <c r="C52" s="429"/>
      <c r="D52" s="430"/>
      <c r="E52" s="5"/>
      <c r="F52" s="5"/>
      <c r="G52" s="5"/>
      <c r="H52" s="5"/>
      <c r="I52" s="5"/>
      <c r="J52" s="5"/>
      <c r="K52" s="118"/>
      <c r="L52" s="118">
        <v>4.8</v>
      </c>
      <c r="M52" s="5"/>
      <c r="N52" s="5">
        <f t="shared" si="9"/>
        <v>4.8</v>
      </c>
      <c r="O52" s="5">
        <f t="shared" si="5"/>
        <v>4.8</v>
      </c>
      <c r="P52" s="355" t="e">
        <f t="shared" si="6"/>
        <v>#DIV/0!</v>
      </c>
      <c r="R52" s="174"/>
    </row>
    <row r="53" spans="1:18" ht="28.5" customHeight="1">
      <c r="A53" s="172"/>
      <c r="B53" s="428" t="s">
        <v>304</v>
      </c>
      <c r="C53" s="429"/>
      <c r="D53" s="430"/>
      <c r="E53" s="5"/>
      <c r="F53" s="5"/>
      <c r="G53" s="5"/>
      <c r="H53" s="5"/>
      <c r="I53" s="5"/>
      <c r="J53" s="5"/>
      <c r="K53" s="118"/>
      <c r="L53" s="118">
        <v>0.8</v>
      </c>
      <c r="M53" s="5"/>
      <c r="N53" s="5">
        <f t="shared" si="9"/>
        <v>0.8</v>
      </c>
      <c r="O53" s="5">
        <f t="shared" si="5"/>
        <v>0.8</v>
      </c>
      <c r="P53" s="355" t="e">
        <f t="shared" si="6"/>
        <v>#DIV/0!</v>
      </c>
      <c r="R53" s="174"/>
    </row>
    <row r="54" spans="1:18" ht="29.25" customHeight="1">
      <c r="A54" s="172"/>
      <c r="B54" s="428" t="s">
        <v>305</v>
      </c>
      <c r="C54" s="429"/>
      <c r="D54" s="430"/>
      <c r="E54" s="5"/>
      <c r="F54" s="5"/>
      <c r="G54" s="5"/>
      <c r="H54" s="5"/>
      <c r="I54" s="5"/>
      <c r="J54" s="5"/>
      <c r="K54" s="118"/>
      <c r="L54" s="118">
        <v>1.2</v>
      </c>
      <c r="M54" s="5"/>
      <c r="N54" s="5">
        <f t="shared" si="9"/>
        <v>1.2</v>
      </c>
      <c r="O54" s="5">
        <f t="shared" si="5"/>
        <v>1.2</v>
      </c>
      <c r="P54" s="355" t="e">
        <f t="shared" si="6"/>
        <v>#DIV/0!</v>
      </c>
      <c r="R54" s="174"/>
    </row>
    <row r="55" spans="1:18" ht="45" customHeight="1">
      <c r="A55" s="172"/>
      <c r="B55" s="428" t="s">
        <v>306</v>
      </c>
      <c r="C55" s="429"/>
      <c r="D55" s="430"/>
      <c r="E55" s="5"/>
      <c r="F55" s="5"/>
      <c r="G55" s="5"/>
      <c r="H55" s="5"/>
      <c r="I55" s="5"/>
      <c r="J55" s="5"/>
      <c r="K55" s="118"/>
      <c r="L55" s="118">
        <v>0.6</v>
      </c>
      <c r="M55" s="5"/>
      <c r="N55" s="5">
        <f t="shared" si="9"/>
        <v>0.6</v>
      </c>
      <c r="O55" s="5">
        <f t="shared" si="5"/>
        <v>0.6</v>
      </c>
      <c r="P55" s="355" t="e">
        <f t="shared" si="6"/>
        <v>#DIV/0!</v>
      </c>
      <c r="R55" s="174"/>
    </row>
    <row r="56" spans="1:18" ht="36" customHeight="1">
      <c r="A56" s="172"/>
      <c r="B56" s="428" t="s">
        <v>307</v>
      </c>
      <c r="C56" s="429"/>
      <c r="D56" s="430"/>
      <c r="E56" s="5"/>
      <c r="F56" s="5"/>
      <c r="G56" s="5"/>
      <c r="H56" s="5"/>
      <c r="I56" s="5"/>
      <c r="J56" s="5"/>
      <c r="K56" s="118"/>
      <c r="L56" s="118">
        <v>1.6</v>
      </c>
      <c r="M56" s="5"/>
      <c r="N56" s="5">
        <f t="shared" si="9"/>
        <v>1.6</v>
      </c>
      <c r="O56" s="5">
        <f t="shared" si="5"/>
        <v>1.6</v>
      </c>
      <c r="P56" s="355" t="e">
        <f t="shared" si="6"/>
        <v>#DIV/0!</v>
      </c>
      <c r="R56" s="174"/>
    </row>
    <row r="57" spans="1:18" ht="28.5" customHeight="1">
      <c r="A57" s="172"/>
      <c r="B57" s="428" t="s">
        <v>308</v>
      </c>
      <c r="C57" s="429"/>
      <c r="D57" s="430"/>
      <c r="E57" s="5"/>
      <c r="F57" s="5"/>
      <c r="G57" s="5"/>
      <c r="H57" s="5"/>
      <c r="I57" s="5"/>
      <c r="J57" s="5"/>
      <c r="K57" s="118"/>
      <c r="L57" s="118">
        <v>5.7</v>
      </c>
      <c r="M57" s="5"/>
      <c r="N57" s="5">
        <f t="shared" si="9"/>
        <v>5.7</v>
      </c>
      <c r="O57" s="5">
        <f t="shared" si="5"/>
        <v>5.7</v>
      </c>
      <c r="P57" s="355" t="e">
        <f t="shared" si="6"/>
        <v>#DIV/0!</v>
      </c>
      <c r="R57" s="174"/>
    </row>
    <row r="58" spans="1:18" ht="28.5" customHeight="1">
      <c r="A58" s="172"/>
      <c r="B58" s="428" t="s">
        <v>309</v>
      </c>
      <c r="C58" s="429"/>
      <c r="D58" s="430"/>
      <c r="E58" s="5"/>
      <c r="F58" s="5"/>
      <c r="G58" s="5"/>
      <c r="H58" s="5"/>
      <c r="I58" s="5"/>
      <c r="J58" s="5"/>
      <c r="K58" s="118"/>
      <c r="L58" s="118">
        <v>5.5</v>
      </c>
      <c r="M58" s="5"/>
      <c r="N58" s="5">
        <f t="shared" si="9"/>
        <v>5.5</v>
      </c>
      <c r="O58" s="5">
        <f t="shared" si="5"/>
        <v>5.5</v>
      </c>
      <c r="P58" s="355" t="e">
        <f t="shared" si="6"/>
        <v>#DIV/0!</v>
      </c>
      <c r="R58" s="174"/>
    </row>
    <row r="59" spans="1:18" ht="29.25" customHeight="1">
      <c r="A59" s="172"/>
      <c r="B59" s="428" t="s">
        <v>310</v>
      </c>
      <c r="C59" s="429"/>
      <c r="D59" s="430"/>
      <c r="E59" s="5"/>
      <c r="F59" s="5"/>
      <c r="G59" s="5"/>
      <c r="H59" s="5"/>
      <c r="I59" s="5"/>
      <c r="J59" s="5"/>
      <c r="K59" s="118"/>
      <c r="L59" s="118">
        <v>24.5</v>
      </c>
      <c r="M59" s="5"/>
      <c r="N59" s="5">
        <f t="shared" si="9"/>
        <v>24.5</v>
      </c>
      <c r="O59" s="5">
        <f t="shared" si="5"/>
        <v>24.5</v>
      </c>
      <c r="P59" s="355" t="e">
        <f t="shared" si="6"/>
        <v>#DIV/0!</v>
      </c>
      <c r="R59" s="174"/>
    </row>
    <row r="60" spans="1:18" ht="28.5" customHeight="1">
      <c r="A60" s="172"/>
      <c r="B60" s="428" t="s">
        <v>311</v>
      </c>
      <c r="C60" s="429"/>
      <c r="D60" s="430"/>
      <c r="E60" s="5"/>
      <c r="F60" s="5"/>
      <c r="G60" s="5"/>
      <c r="H60" s="5"/>
      <c r="I60" s="5"/>
      <c r="J60" s="5"/>
      <c r="K60" s="118"/>
      <c r="L60" s="118">
        <v>2.2999999999999998</v>
      </c>
      <c r="M60" s="5"/>
      <c r="N60" s="5">
        <f t="shared" si="9"/>
        <v>2.2999999999999998</v>
      </c>
      <c r="O60" s="5">
        <f t="shared" si="5"/>
        <v>2.2999999999999998</v>
      </c>
      <c r="P60" s="355" t="e">
        <f t="shared" si="6"/>
        <v>#DIV/0!</v>
      </c>
      <c r="R60" s="174"/>
    </row>
    <row r="61" spans="1:18" ht="29.25" customHeight="1">
      <c r="A61" s="172"/>
      <c r="B61" s="428" t="s">
        <v>312</v>
      </c>
      <c r="C61" s="429"/>
      <c r="D61" s="430"/>
      <c r="E61" s="5"/>
      <c r="F61" s="5"/>
      <c r="G61" s="5"/>
      <c r="H61" s="5"/>
      <c r="I61" s="5"/>
      <c r="J61" s="5"/>
      <c r="K61" s="118"/>
      <c r="L61" s="118">
        <v>0.7</v>
      </c>
      <c r="M61" s="5"/>
      <c r="N61" s="5">
        <f t="shared" si="9"/>
        <v>0.7</v>
      </c>
      <c r="O61" s="5">
        <f t="shared" si="5"/>
        <v>0.7</v>
      </c>
      <c r="P61" s="355" t="e">
        <f t="shared" si="6"/>
        <v>#DIV/0!</v>
      </c>
      <c r="R61" s="174"/>
    </row>
    <row r="62" spans="1:18" ht="29.25" customHeight="1">
      <c r="A62" s="172"/>
      <c r="B62" s="428" t="s">
        <v>313</v>
      </c>
      <c r="C62" s="429"/>
      <c r="D62" s="430"/>
      <c r="E62" s="5"/>
      <c r="F62" s="5"/>
      <c r="G62" s="5"/>
      <c r="H62" s="5"/>
      <c r="I62" s="5"/>
      <c r="J62" s="5"/>
      <c r="K62" s="118"/>
      <c r="L62" s="118">
        <v>0.4</v>
      </c>
      <c r="M62" s="5"/>
      <c r="N62" s="5">
        <f t="shared" si="9"/>
        <v>0.4</v>
      </c>
      <c r="O62" s="5">
        <f t="shared" si="5"/>
        <v>0.4</v>
      </c>
      <c r="P62" s="355" t="e">
        <f t="shared" si="6"/>
        <v>#DIV/0!</v>
      </c>
      <c r="R62" s="174"/>
    </row>
    <row r="63" spans="1:18" ht="28.5" customHeight="1">
      <c r="A63" s="172"/>
      <c r="B63" s="428" t="s">
        <v>516</v>
      </c>
      <c r="C63" s="429"/>
      <c r="D63" s="430"/>
      <c r="E63" s="5"/>
      <c r="F63" s="5"/>
      <c r="G63" s="5"/>
      <c r="H63" s="5"/>
      <c r="I63" s="5"/>
      <c r="J63" s="5"/>
      <c r="K63" s="118"/>
      <c r="L63" s="118">
        <v>17.899999999999999</v>
      </c>
      <c r="M63" s="5"/>
      <c r="N63" s="5">
        <f t="shared" si="9"/>
        <v>17.899999999999999</v>
      </c>
      <c r="O63" s="5">
        <f t="shared" si="5"/>
        <v>17.899999999999999</v>
      </c>
      <c r="P63" s="355" t="e">
        <f t="shared" si="6"/>
        <v>#DIV/0!</v>
      </c>
      <c r="R63" s="174"/>
    </row>
    <row r="64" spans="1:18" ht="29.25" customHeight="1">
      <c r="A64" s="172"/>
      <c r="B64" s="428" t="s">
        <v>509</v>
      </c>
      <c r="C64" s="429"/>
      <c r="D64" s="430"/>
      <c r="E64" s="5"/>
      <c r="F64" s="5"/>
      <c r="G64" s="5"/>
      <c r="H64" s="5"/>
      <c r="I64" s="5"/>
      <c r="J64" s="5"/>
      <c r="K64" s="118"/>
      <c r="L64" s="118">
        <v>7.4</v>
      </c>
      <c r="M64" s="5"/>
      <c r="N64" s="5">
        <f t="shared" si="9"/>
        <v>7.4</v>
      </c>
      <c r="O64" s="5">
        <f t="shared" si="5"/>
        <v>7.4</v>
      </c>
      <c r="P64" s="355" t="e">
        <f t="shared" si="6"/>
        <v>#DIV/0!</v>
      </c>
      <c r="R64" s="174"/>
    </row>
    <row r="65" spans="1:18" ht="28.5" customHeight="1">
      <c r="A65" s="172"/>
      <c r="B65" s="444" t="s">
        <v>510</v>
      </c>
      <c r="C65" s="445"/>
      <c r="D65" s="446"/>
      <c r="E65" s="5"/>
      <c r="F65" s="5"/>
      <c r="G65" s="5"/>
      <c r="H65" s="5"/>
      <c r="I65" s="5"/>
      <c r="J65" s="5"/>
      <c r="K65" s="118"/>
      <c r="L65" s="118">
        <v>1.6</v>
      </c>
      <c r="M65" s="5"/>
      <c r="N65" s="5">
        <f t="shared" si="9"/>
        <v>1.6</v>
      </c>
      <c r="O65" s="5">
        <f t="shared" si="5"/>
        <v>1.6</v>
      </c>
      <c r="P65" s="355" t="e">
        <f t="shared" si="6"/>
        <v>#DIV/0!</v>
      </c>
      <c r="R65" s="174"/>
    </row>
    <row r="66" spans="1:18" ht="36" customHeight="1">
      <c r="A66" s="172"/>
      <c r="B66" s="428" t="s">
        <v>314</v>
      </c>
      <c r="C66" s="429"/>
      <c r="D66" s="430"/>
      <c r="E66" s="5"/>
      <c r="F66" s="5"/>
      <c r="G66" s="5"/>
      <c r="H66" s="5"/>
      <c r="I66" s="5"/>
      <c r="J66" s="5"/>
      <c r="K66" s="118"/>
      <c r="L66" s="118">
        <v>10.7</v>
      </c>
      <c r="M66" s="5"/>
      <c r="N66" s="5">
        <f t="shared" si="9"/>
        <v>10.7</v>
      </c>
      <c r="O66" s="5">
        <f t="shared" si="5"/>
        <v>10.7</v>
      </c>
      <c r="P66" s="355" t="e">
        <f t="shared" si="6"/>
        <v>#DIV/0!</v>
      </c>
      <c r="R66" s="174"/>
    </row>
    <row r="67" spans="1:18" ht="29.25" customHeight="1">
      <c r="A67" s="172"/>
      <c r="B67" s="450" t="s">
        <v>318</v>
      </c>
      <c r="C67" s="451"/>
      <c r="D67" s="452"/>
      <c r="E67" s="5"/>
      <c r="F67" s="5"/>
      <c r="G67" s="5"/>
      <c r="H67" s="5"/>
      <c r="I67" s="5"/>
      <c r="J67" s="5"/>
      <c r="K67" s="118"/>
      <c r="L67" s="118">
        <v>11.6</v>
      </c>
      <c r="M67" s="5"/>
      <c r="N67" s="5">
        <f t="shared" si="9"/>
        <v>11.6</v>
      </c>
      <c r="O67" s="5">
        <f t="shared" si="5"/>
        <v>11.6</v>
      </c>
      <c r="P67" s="355" t="e">
        <f t="shared" si="6"/>
        <v>#DIV/0!</v>
      </c>
      <c r="R67" s="174"/>
    </row>
    <row r="68" spans="1:18" ht="29.25" customHeight="1">
      <c r="A68" s="172"/>
      <c r="B68" s="447" t="s">
        <v>315</v>
      </c>
      <c r="C68" s="448"/>
      <c r="D68" s="449"/>
      <c r="E68" s="5"/>
      <c r="F68" s="5"/>
      <c r="G68" s="5"/>
      <c r="H68" s="5"/>
      <c r="I68" s="5"/>
      <c r="J68" s="5"/>
      <c r="K68" s="118"/>
      <c r="L68" s="118">
        <v>8</v>
      </c>
      <c r="M68" s="5"/>
      <c r="N68" s="5">
        <f t="shared" si="9"/>
        <v>8</v>
      </c>
      <c r="O68" s="5">
        <f t="shared" si="5"/>
        <v>8</v>
      </c>
      <c r="P68" s="355" t="e">
        <f t="shared" si="6"/>
        <v>#DIV/0!</v>
      </c>
      <c r="R68" s="174"/>
    </row>
    <row r="69" spans="1:18" ht="29.25" customHeight="1">
      <c r="A69" s="172"/>
      <c r="B69" s="450" t="s">
        <v>316</v>
      </c>
      <c r="C69" s="451"/>
      <c r="D69" s="452"/>
      <c r="E69" s="5"/>
      <c r="F69" s="5"/>
      <c r="G69" s="5"/>
      <c r="H69" s="5"/>
      <c r="I69" s="5"/>
      <c r="J69" s="5"/>
      <c r="K69" s="118"/>
      <c r="L69" s="118">
        <v>4.5999999999999996</v>
      </c>
      <c r="M69" s="5"/>
      <c r="N69" s="5">
        <f t="shared" si="9"/>
        <v>4.5999999999999996</v>
      </c>
      <c r="O69" s="5">
        <f t="shared" si="5"/>
        <v>4.5999999999999996</v>
      </c>
      <c r="P69" s="355" t="e">
        <f t="shared" si="6"/>
        <v>#DIV/0!</v>
      </c>
      <c r="R69" s="174"/>
    </row>
    <row r="70" spans="1:18" ht="29.25" customHeight="1">
      <c r="A70" s="172"/>
      <c r="B70" s="450" t="s">
        <v>317</v>
      </c>
      <c r="C70" s="451"/>
      <c r="D70" s="452"/>
      <c r="E70" s="5"/>
      <c r="F70" s="5"/>
      <c r="G70" s="5"/>
      <c r="H70" s="5"/>
      <c r="I70" s="5"/>
      <c r="J70" s="5"/>
      <c r="K70" s="118"/>
      <c r="L70" s="118">
        <v>2.1</v>
      </c>
      <c r="M70" s="5"/>
      <c r="N70" s="5">
        <f t="shared" si="9"/>
        <v>2.1</v>
      </c>
      <c r="O70" s="5">
        <f t="shared" si="5"/>
        <v>2.1</v>
      </c>
      <c r="P70" s="355" t="e">
        <f t="shared" si="6"/>
        <v>#DIV/0!</v>
      </c>
      <c r="R70" s="174"/>
    </row>
    <row r="71" spans="1:18" ht="28.5" customHeight="1">
      <c r="A71" s="172"/>
      <c r="B71" s="444" t="s">
        <v>711</v>
      </c>
      <c r="C71" s="445"/>
      <c r="D71" s="446"/>
      <c r="E71" s="5"/>
      <c r="F71" s="5"/>
      <c r="G71" s="5"/>
      <c r="H71" s="5"/>
      <c r="I71" s="5"/>
      <c r="J71" s="5"/>
      <c r="K71" s="118"/>
      <c r="L71" s="118">
        <v>0.3</v>
      </c>
      <c r="M71" s="5"/>
      <c r="N71" s="5">
        <f t="shared" si="9"/>
        <v>0.3</v>
      </c>
      <c r="O71" s="5">
        <f t="shared" si="5"/>
        <v>0.3</v>
      </c>
      <c r="P71" s="355" t="e">
        <f t="shared" si="6"/>
        <v>#DIV/0!</v>
      </c>
      <c r="R71" s="174"/>
    </row>
    <row r="72" spans="1:18" ht="29.25" customHeight="1">
      <c r="A72" s="172"/>
      <c r="B72" s="444" t="s">
        <v>712</v>
      </c>
      <c r="C72" s="445"/>
      <c r="D72" s="446"/>
      <c r="E72" s="5"/>
      <c r="F72" s="5"/>
      <c r="G72" s="5"/>
      <c r="H72" s="5"/>
      <c r="I72" s="5"/>
      <c r="J72" s="5"/>
      <c r="K72" s="118"/>
      <c r="L72" s="118">
        <v>0.4</v>
      </c>
      <c r="M72" s="5"/>
      <c r="N72" s="5">
        <f t="shared" si="9"/>
        <v>0.4</v>
      </c>
      <c r="O72" s="5">
        <f t="shared" ref="O72:O93" si="10">N72-M72</f>
        <v>0.4</v>
      </c>
      <c r="P72" s="355" t="e">
        <f t="shared" ref="P72:P93" si="11">(N72/M72)*100</f>
        <v>#DIV/0!</v>
      </c>
      <c r="R72" s="174"/>
    </row>
    <row r="73" spans="1:18" ht="29.25" customHeight="1">
      <c r="A73" s="172"/>
      <c r="B73" s="350" t="s">
        <v>713</v>
      </c>
      <c r="C73" s="344"/>
      <c r="D73" s="345"/>
      <c r="E73" s="5"/>
      <c r="F73" s="5"/>
      <c r="G73" s="5"/>
      <c r="H73" s="5"/>
      <c r="I73" s="5"/>
      <c r="J73" s="5"/>
      <c r="K73" s="118"/>
      <c r="L73" s="118">
        <v>0.7</v>
      </c>
      <c r="M73" s="5"/>
      <c r="N73" s="5">
        <f t="shared" si="9"/>
        <v>0.7</v>
      </c>
      <c r="O73" s="5">
        <f t="shared" si="10"/>
        <v>0.7</v>
      </c>
      <c r="P73" s="355" t="e">
        <f t="shared" si="11"/>
        <v>#DIV/0!</v>
      </c>
      <c r="R73" s="174"/>
    </row>
    <row r="74" spans="1:18" ht="28.5" customHeight="1">
      <c r="A74" s="172"/>
      <c r="B74" s="421" t="s">
        <v>416</v>
      </c>
      <c r="C74" s="422"/>
      <c r="D74" s="423"/>
      <c r="E74" s="5"/>
      <c r="F74" s="5"/>
      <c r="G74" s="5"/>
      <c r="H74" s="5"/>
      <c r="I74" s="5"/>
      <c r="J74" s="5"/>
      <c r="K74" s="118"/>
      <c r="L74" s="118">
        <v>5.6</v>
      </c>
      <c r="M74" s="5"/>
      <c r="N74" s="5">
        <f t="shared" si="9"/>
        <v>5.6</v>
      </c>
      <c r="O74" s="5">
        <f t="shared" si="10"/>
        <v>5.6</v>
      </c>
      <c r="P74" s="355" t="e">
        <f t="shared" si="11"/>
        <v>#DIV/0!</v>
      </c>
      <c r="R74" s="174"/>
    </row>
    <row r="75" spans="1:18" ht="28.5" customHeight="1">
      <c r="A75" s="172"/>
      <c r="B75" s="421" t="s">
        <v>417</v>
      </c>
      <c r="C75" s="422"/>
      <c r="D75" s="423"/>
      <c r="E75" s="5"/>
      <c r="F75" s="5"/>
      <c r="G75" s="5"/>
      <c r="H75" s="5"/>
      <c r="I75" s="5"/>
      <c r="J75" s="5"/>
      <c r="K75" s="118"/>
      <c r="L75" s="118">
        <v>2.7</v>
      </c>
      <c r="M75" s="5"/>
      <c r="N75" s="5">
        <f t="shared" si="9"/>
        <v>2.7</v>
      </c>
      <c r="O75" s="5">
        <f t="shared" si="10"/>
        <v>2.7</v>
      </c>
      <c r="P75" s="355" t="e">
        <f t="shared" si="11"/>
        <v>#DIV/0!</v>
      </c>
      <c r="R75" s="174"/>
    </row>
    <row r="76" spans="1:18" ht="28.5" customHeight="1">
      <c r="A76" s="172"/>
      <c r="B76" s="421" t="s">
        <v>418</v>
      </c>
      <c r="C76" s="422"/>
      <c r="D76" s="423"/>
      <c r="E76" s="5"/>
      <c r="F76" s="5"/>
      <c r="G76" s="5"/>
      <c r="H76" s="5"/>
      <c r="I76" s="5"/>
      <c r="J76" s="5"/>
      <c r="K76" s="118"/>
      <c r="L76" s="118">
        <v>5</v>
      </c>
      <c r="M76" s="5"/>
      <c r="N76" s="5">
        <f t="shared" si="9"/>
        <v>5</v>
      </c>
      <c r="O76" s="5">
        <f t="shared" si="10"/>
        <v>5</v>
      </c>
      <c r="P76" s="355" t="e">
        <f t="shared" si="11"/>
        <v>#DIV/0!</v>
      </c>
      <c r="R76" s="174"/>
    </row>
    <row r="77" spans="1:18" ht="28.5" customHeight="1">
      <c r="A77" s="172"/>
      <c r="B77" s="421" t="s">
        <v>419</v>
      </c>
      <c r="C77" s="422"/>
      <c r="D77" s="423"/>
      <c r="E77" s="5"/>
      <c r="F77" s="5"/>
      <c r="G77" s="5"/>
      <c r="H77" s="5"/>
      <c r="I77" s="5"/>
      <c r="J77" s="5"/>
      <c r="K77" s="118"/>
      <c r="L77" s="118">
        <v>7.6</v>
      </c>
      <c r="M77" s="5"/>
      <c r="N77" s="5">
        <f t="shared" si="9"/>
        <v>7.6</v>
      </c>
      <c r="O77" s="5">
        <f t="shared" si="10"/>
        <v>7.6</v>
      </c>
      <c r="P77" s="355" t="e">
        <f t="shared" si="11"/>
        <v>#DIV/0!</v>
      </c>
      <c r="R77" s="174"/>
    </row>
    <row r="78" spans="1:18" ht="63.75" customHeight="1">
      <c r="A78" s="172"/>
      <c r="B78" s="421" t="s">
        <v>420</v>
      </c>
      <c r="C78" s="422"/>
      <c r="D78" s="423"/>
      <c r="E78" s="5"/>
      <c r="F78" s="5"/>
      <c r="G78" s="5"/>
      <c r="H78" s="5"/>
      <c r="I78" s="5"/>
      <c r="J78" s="5">
        <v>15.3</v>
      </c>
      <c r="K78" s="118"/>
      <c r="L78" s="118"/>
      <c r="M78" s="5"/>
      <c r="N78" s="5">
        <f t="shared" si="9"/>
        <v>15.3</v>
      </c>
      <c r="O78" s="5">
        <f t="shared" si="10"/>
        <v>15.3</v>
      </c>
      <c r="P78" s="355" t="e">
        <f t="shared" si="11"/>
        <v>#DIV/0!</v>
      </c>
      <c r="R78" s="174"/>
    </row>
    <row r="79" spans="1:18" ht="29.25" customHeight="1">
      <c r="A79" s="172"/>
      <c r="B79" s="444" t="s">
        <v>506</v>
      </c>
      <c r="C79" s="445"/>
      <c r="D79" s="446"/>
      <c r="E79" s="5"/>
      <c r="F79" s="5"/>
      <c r="G79" s="5"/>
      <c r="H79" s="5"/>
      <c r="I79" s="5"/>
      <c r="J79" s="5"/>
      <c r="K79" s="118"/>
      <c r="L79" s="118">
        <v>1.4</v>
      </c>
      <c r="M79" s="5"/>
      <c r="N79" s="5">
        <f t="shared" si="9"/>
        <v>1.4</v>
      </c>
      <c r="O79" s="5">
        <f t="shared" si="10"/>
        <v>1.4</v>
      </c>
      <c r="P79" s="355" t="e">
        <f t="shared" si="11"/>
        <v>#DIV/0!</v>
      </c>
      <c r="R79" s="174"/>
    </row>
    <row r="80" spans="1:18" ht="29.25" customHeight="1">
      <c r="A80" s="172"/>
      <c r="B80" s="444" t="s">
        <v>508</v>
      </c>
      <c r="C80" s="445"/>
      <c r="D80" s="446"/>
      <c r="E80" s="5"/>
      <c r="F80" s="5"/>
      <c r="G80" s="5"/>
      <c r="H80" s="5"/>
      <c r="I80" s="5"/>
      <c r="J80" s="5"/>
      <c r="K80" s="118"/>
      <c r="L80" s="118">
        <v>2</v>
      </c>
      <c r="M80" s="5"/>
      <c r="N80" s="5">
        <f t="shared" si="9"/>
        <v>2</v>
      </c>
      <c r="O80" s="5">
        <f t="shared" si="10"/>
        <v>2</v>
      </c>
      <c r="P80" s="355" t="e">
        <f t="shared" si="11"/>
        <v>#DIV/0!</v>
      </c>
      <c r="R80" s="174"/>
    </row>
    <row r="81" spans="1:18" ht="29.25" customHeight="1">
      <c r="A81" s="172"/>
      <c r="B81" s="444" t="s">
        <v>512</v>
      </c>
      <c r="C81" s="445"/>
      <c r="D81" s="446"/>
      <c r="E81" s="5"/>
      <c r="F81" s="5"/>
      <c r="G81" s="5"/>
      <c r="H81" s="5"/>
      <c r="I81" s="5"/>
      <c r="J81" s="5"/>
      <c r="K81" s="118"/>
      <c r="L81" s="118">
        <v>3</v>
      </c>
      <c r="M81" s="5"/>
      <c r="N81" s="5">
        <f t="shared" si="9"/>
        <v>3</v>
      </c>
      <c r="O81" s="5">
        <f t="shared" si="10"/>
        <v>3</v>
      </c>
      <c r="P81" s="355" t="e">
        <f t="shared" si="11"/>
        <v>#DIV/0!</v>
      </c>
      <c r="R81" s="174"/>
    </row>
    <row r="82" spans="1:18" ht="29.25" customHeight="1">
      <c r="A82" s="172"/>
      <c r="B82" s="444" t="s">
        <v>513</v>
      </c>
      <c r="C82" s="445"/>
      <c r="D82" s="446"/>
      <c r="E82" s="5"/>
      <c r="F82" s="5"/>
      <c r="G82" s="5"/>
      <c r="H82" s="5"/>
      <c r="I82" s="5"/>
      <c r="J82" s="5"/>
      <c r="K82" s="118"/>
      <c r="L82" s="118">
        <v>3.7</v>
      </c>
      <c r="M82" s="5"/>
      <c r="N82" s="5">
        <f t="shared" si="9"/>
        <v>3.7</v>
      </c>
      <c r="O82" s="5">
        <f t="shared" si="10"/>
        <v>3.7</v>
      </c>
      <c r="P82" s="355" t="e">
        <f t="shared" si="11"/>
        <v>#DIV/0!</v>
      </c>
      <c r="R82" s="174"/>
    </row>
    <row r="83" spans="1:18" ht="29.25" customHeight="1">
      <c r="A83" s="172"/>
      <c r="B83" s="444" t="s">
        <v>514</v>
      </c>
      <c r="C83" s="445"/>
      <c r="D83" s="446"/>
      <c r="E83" s="5"/>
      <c r="F83" s="5"/>
      <c r="G83" s="5"/>
      <c r="H83" s="5"/>
      <c r="I83" s="5"/>
      <c r="J83" s="5"/>
      <c r="K83" s="118"/>
      <c r="L83" s="118">
        <v>24.2</v>
      </c>
      <c r="M83" s="5"/>
      <c r="N83" s="5">
        <f t="shared" si="9"/>
        <v>24.2</v>
      </c>
      <c r="O83" s="5">
        <f t="shared" si="10"/>
        <v>24.2</v>
      </c>
      <c r="P83" s="355" t="e">
        <f t="shared" si="11"/>
        <v>#DIV/0!</v>
      </c>
      <c r="R83" s="174"/>
    </row>
    <row r="84" spans="1:18" ht="29.25" customHeight="1">
      <c r="A84" s="172"/>
      <c r="B84" s="444" t="s">
        <v>515</v>
      </c>
      <c r="C84" s="445"/>
      <c r="D84" s="446"/>
      <c r="E84" s="5"/>
      <c r="F84" s="5"/>
      <c r="G84" s="5"/>
      <c r="H84" s="5"/>
      <c r="I84" s="5"/>
      <c r="J84" s="5"/>
      <c r="K84" s="118"/>
      <c r="L84" s="118">
        <v>2.5</v>
      </c>
      <c r="M84" s="5"/>
      <c r="N84" s="5">
        <f t="shared" si="9"/>
        <v>2.5</v>
      </c>
      <c r="O84" s="5">
        <f t="shared" si="10"/>
        <v>2.5</v>
      </c>
      <c r="P84" s="355" t="e">
        <f t="shared" si="11"/>
        <v>#DIV/0!</v>
      </c>
      <c r="R84" s="174"/>
    </row>
    <row r="85" spans="1:18" ht="29.25" customHeight="1">
      <c r="A85" s="188"/>
      <c r="B85" s="444" t="s">
        <v>565</v>
      </c>
      <c r="C85" s="445"/>
      <c r="D85" s="446"/>
      <c r="E85" s="5"/>
      <c r="F85" s="5"/>
      <c r="G85" s="5"/>
      <c r="H85" s="5"/>
      <c r="I85" s="5"/>
      <c r="J85" s="5">
        <v>2.1</v>
      </c>
      <c r="K85" s="118"/>
      <c r="L85" s="118"/>
      <c r="M85" s="5"/>
      <c r="N85" s="5">
        <f t="shared" si="9"/>
        <v>2.1</v>
      </c>
      <c r="O85" s="5">
        <f t="shared" si="10"/>
        <v>2.1</v>
      </c>
      <c r="P85" s="355" t="e">
        <f t="shared" si="11"/>
        <v>#DIV/0!</v>
      </c>
      <c r="R85" s="174"/>
    </row>
    <row r="86" spans="1:18" ht="29.25" customHeight="1">
      <c r="A86" s="188"/>
      <c r="B86" s="444" t="s">
        <v>569</v>
      </c>
      <c r="C86" s="445"/>
      <c r="D86" s="446"/>
      <c r="E86" s="5"/>
      <c r="F86" s="5"/>
      <c r="G86" s="5"/>
      <c r="H86" s="5"/>
      <c r="I86" s="5"/>
      <c r="J86" s="5">
        <v>1.5</v>
      </c>
      <c r="K86" s="118"/>
      <c r="L86" s="118"/>
      <c r="M86" s="5"/>
      <c r="N86" s="5">
        <f t="shared" si="9"/>
        <v>1.5</v>
      </c>
      <c r="O86" s="5">
        <f t="shared" si="10"/>
        <v>1.5</v>
      </c>
      <c r="P86" s="355" t="e">
        <f t="shared" si="11"/>
        <v>#DIV/0!</v>
      </c>
      <c r="R86" s="174"/>
    </row>
    <row r="87" spans="1:18" ht="29.25" customHeight="1">
      <c r="A87" s="188"/>
      <c r="B87" s="444" t="s">
        <v>566</v>
      </c>
      <c r="C87" s="445"/>
      <c r="D87" s="446"/>
      <c r="E87" s="5"/>
      <c r="F87" s="5"/>
      <c r="G87" s="5"/>
      <c r="H87" s="5"/>
      <c r="I87" s="5"/>
      <c r="J87" s="5">
        <v>1.4</v>
      </c>
      <c r="K87" s="118"/>
      <c r="L87" s="118"/>
      <c r="M87" s="5"/>
      <c r="N87" s="5">
        <f t="shared" si="9"/>
        <v>1.4</v>
      </c>
      <c r="O87" s="5">
        <f t="shared" si="10"/>
        <v>1.4</v>
      </c>
      <c r="P87" s="355" t="e">
        <f t="shared" si="11"/>
        <v>#DIV/0!</v>
      </c>
      <c r="R87" s="174"/>
    </row>
    <row r="88" spans="1:18" ht="29.25" customHeight="1">
      <c r="A88" s="188"/>
      <c r="B88" s="444" t="s">
        <v>567</v>
      </c>
      <c r="C88" s="445"/>
      <c r="D88" s="446"/>
      <c r="E88" s="5"/>
      <c r="F88" s="5"/>
      <c r="G88" s="5"/>
      <c r="H88" s="5"/>
      <c r="I88" s="5"/>
      <c r="J88" s="5">
        <v>2.1</v>
      </c>
      <c r="K88" s="118"/>
      <c r="L88" s="118"/>
      <c r="M88" s="5"/>
      <c r="N88" s="5">
        <f t="shared" si="9"/>
        <v>2.1</v>
      </c>
      <c r="O88" s="5">
        <f t="shared" si="10"/>
        <v>2.1</v>
      </c>
      <c r="P88" s="355" t="e">
        <f t="shared" si="11"/>
        <v>#DIV/0!</v>
      </c>
      <c r="R88" s="174"/>
    </row>
    <row r="89" spans="1:18" ht="29.25" customHeight="1">
      <c r="A89" s="188"/>
      <c r="B89" s="444" t="s">
        <v>568</v>
      </c>
      <c r="C89" s="445"/>
      <c r="D89" s="446"/>
      <c r="E89" s="5"/>
      <c r="F89" s="5"/>
      <c r="G89" s="5"/>
      <c r="H89" s="5"/>
      <c r="I89" s="5"/>
      <c r="J89" s="5">
        <v>4.5</v>
      </c>
      <c r="K89" s="118"/>
      <c r="L89" s="118"/>
      <c r="M89" s="5"/>
      <c r="N89" s="5">
        <f t="shared" si="9"/>
        <v>4.5</v>
      </c>
      <c r="O89" s="5">
        <f t="shared" si="10"/>
        <v>4.5</v>
      </c>
      <c r="P89" s="355" t="e">
        <f t="shared" si="11"/>
        <v>#DIV/0!</v>
      </c>
      <c r="R89" s="174"/>
    </row>
    <row r="90" spans="1:18" ht="41.25" customHeight="1">
      <c r="A90" s="351" t="s">
        <v>101</v>
      </c>
      <c r="B90" s="441" t="s">
        <v>714</v>
      </c>
      <c r="C90" s="442"/>
      <c r="D90" s="443"/>
      <c r="E90" s="1"/>
      <c r="F90" s="1"/>
      <c r="G90" s="1"/>
      <c r="H90" s="1">
        <f>H91+H92</f>
        <v>204.8</v>
      </c>
      <c r="I90" s="1"/>
      <c r="J90" s="1">
        <f>J91+J92</f>
        <v>347.5</v>
      </c>
      <c r="K90" s="352"/>
      <c r="L90" s="352"/>
      <c r="M90" s="1"/>
      <c r="N90" s="1">
        <f>F90+H90+J90+L90</f>
        <v>552.29999999999995</v>
      </c>
      <c r="O90" s="353">
        <f t="shared" si="10"/>
        <v>552.29999999999995</v>
      </c>
      <c r="P90" s="356" t="e">
        <f t="shared" si="11"/>
        <v>#DIV/0!</v>
      </c>
      <c r="R90" s="174"/>
    </row>
    <row r="91" spans="1:18" ht="70.5" customHeight="1">
      <c r="A91" s="188"/>
      <c r="B91" s="438" t="str">
        <f>'Розшифровка кап'!A209</f>
        <v>капітальний ремонт благоустрою території комунального некомерційного підприємства "Центр матері та дитини" по вул. Маяковського,138 в м.Вінниці</v>
      </c>
      <c r="C91" s="439"/>
      <c r="D91" s="440"/>
      <c r="E91" s="5"/>
      <c r="F91" s="5"/>
      <c r="G91" s="5"/>
      <c r="H91" s="5">
        <v>75.8</v>
      </c>
      <c r="I91" s="5"/>
      <c r="J91" s="5">
        <f>278.1-75.8</f>
        <v>202.3</v>
      </c>
      <c r="K91" s="118"/>
      <c r="L91" s="118"/>
      <c r="M91" s="5"/>
      <c r="N91" s="5">
        <f t="shared" si="9"/>
        <v>278.10000000000002</v>
      </c>
      <c r="O91" s="5">
        <f t="shared" si="10"/>
        <v>278.10000000000002</v>
      </c>
      <c r="P91" s="355" t="e">
        <f t="shared" si="11"/>
        <v>#DIV/0!</v>
      </c>
      <c r="R91" s="174"/>
    </row>
    <row r="92" spans="1:18" ht="96" customHeight="1">
      <c r="A92" s="188"/>
      <c r="B92" s="438" t="str">
        <f>'Розшифровка кап'!A208</f>
        <v>капітальний ремонт приміщень четвертого поверху пологового будинку міської лікарні "Центр матері та дитини" за адресою: м.Вінниці вул. Маяковського,138 в м. Вінниця</v>
      </c>
      <c r="C92" s="439"/>
      <c r="D92" s="440"/>
      <c r="E92" s="5"/>
      <c r="F92" s="5"/>
      <c r="G92" s="5"/>
      <c r="H92" s="5">
        <v>129</v>
      </c>
      <c r="I92" s="5"/>
      <c r="J92" s="5">
        <f>274.2-129</f>
        <v>145.19999999999999</v>
      </c>
      <c r="K92" s="118"/>
      <c r="L92" s="118"/>
      <c r="M92" s="5"/>
      <c r="N92" s="5">
        <f t="shared" si="9"/>
        <v>274.2</v>
      </c>
      <c r="O92" s="5">
        <f t="shared" si="10"/>
        <v>274.2</v>
      </c>
      <c r="P92" s="355" t="e">
        <f t="shared" si="11"/>
        <v>#DIV/0!</v>
      </c>
      <c r="R92" s="174"/>
    </row>
    <row r="93" spans="1:18" ht="36" customHeight="1">
      <c r="A93" s="435" t="s">
        <v>9</v>
      </c>
      <c r="B93" s="436"/>
      <c r="C93" s="436"/>
      <c r="D93" s="437"/>
      <c r="E93" s="1">
        <f t="shared" ref="E93" si="12">E7+E33</f>
        <v>0</v>
      </c>
      <c r="F93" s="1">
        <f>F7+F33+F90</f>
        <v>0</v>
      </c>
      <c r="G93" s="1">
        <f t="shared" ref="G93:K93" si="13">G7+G33+G90</f>
        <v>0</v>
      </c>
      <c r="H93" s="1">
        <f t="shared" si="13"/>
        <v>204.8</v>
      </c>
      <c r="I93" s="1">
        <f t="shared" si="13"/>
        <v>136.1</v>
      </c>
      <c r="J93" s="1">
        <f t="shared" si="13"/>
        <v>662</v>
      </c>
      <c r="K93" s="1">
        <f t="shared" si="13"/>
        <v>0</v>
      </c>
      <c r="L93" s="1">
        <f>L7+L33+L90</f>
        <v>910.19999999999982</v>
      </c>
      <c r="M93" s="1">
        <f>E93+G93+I93+K93</f>
        <v>136.1</v>
      </c>
      <c r="N93" s="1">
        <f>F93+H93+J93+L93</f>
        <v>1776.9999999999998</v>
      </c>
      <c r="O93" s="1">
        <f t="shared" si="10"/>
        <v>1640.8999999999999</v>
      </c>
      <c r="P93" s="1">
        <f t="shared" si="11"/>
        <v>1305.6576047024246</v>
      </c>
    </row>
    <row r="94" spans="1:18" ht="36" customHeight="1">
      <c r="A94" s="119"/>
      <c r="B94" s="119"/>
      <c r="C94" s="120"/>
      <c r="D94" s="120"/>
      <c r="E94" s="120"/>
      <c r="F94" s="120"/>
      <c r="G94" s="120"/>
      <c r="H94" s="120"/>
      <c r="I94" s="120"/>
      <c r="J94" s="119"/>
      <c r="K94" s="120"/>
      <c r="L94" s="119"/>
    </row>
    <row r="95" spans="1:18" ht="4.5" customHeight="1">
      <c r="A95" s="121"/>
      <c r="B95" s="121"/>
      <c r="C95" s="122"/>
      <c r="D95" s="122"/>
      <c r="E95" s="122"/>
      <c r="F95" s="122"/>
      <c r="G95" s="122"/>
      <c r="H95" s="122"/>
      <c r="I95" s="122"/>
      <c r="J95" s="122"/>
    </row>
    <row r="96" spans="1:18" ht="30.75" customHeight="1">
      <c r="A96" s="121"/>
      <c r="B96" s="121"/>
      <c r="C96" s="122"/>
      <c r="D96" s="122"/>
      <c r="E96" s="122"/>
      <c r="F96" s="122"/>
      <c r="G96" s="122"/>
      <c r="H96" s="122"/>
      <c r="I96" s="122"/>
      <c r="J96" s="122"/>
    </row>
    <row r="97" spans="1:18" s="171" customFormat="1" ht="36" hidden="1" customHeight="1">
      <c r="C97" s="115"/>
      <c r="D97" s="115"/>
      <c r="E97" s="115"/>
      <c r="F97" s="115"/>
      <c r="R97" s="112"/>
    </row>
    <row r="98" spans="1:18" s="123" customFormat="1" ht="36" customHeight="1">
      <c r="B98" s="433" t="s">
        <v>433</v>
      </c>
      <c r="C98" s="433"/>
      <c r="D98" s="433"/>
      <c r="E98" s="343"/>
      <c r="F98" s="343"/>
      <c r="G98" s="434"/>
      <c r="H98" s="434"/>
      <c r="I98" s="434"/>
      <c r="J98" s="175"/>
      <c r="K98" s="417" t="s">
        <v>520</v>
      </c>
      <c r="L98" s="417"/>
      <c r="M98" s="417"/>
      <c r="R98" s="175"/>
    </row>
    <row r="99" spans="1:18" s="171" customFormat="1" ht="36" customHeight="1">
      <c r="B99" s="376" t="s">
        <v>11</v>
      </c>
      <c r="C99" s="376"/>
      <c r="D99" s="376"/>
      <c r="E99" s="124"/>
      <c r="F99" s="124"/>
      <c r="G99" s="125"/>
      <c r="H99" s="177" t="s">
        <v>12</v>
      </c>
      <c r="I99" s="125"/>
      <c r="J99" s="124"/>
      <c r="K99" s="376" t="s">
        <v>18</v>
      </c>
      <c r="L99" s="376"/>
      <c r="M99" s="376"/>
      <c r="R99" s="112"/>
    </row>
    <row r="100" spans="1:18" ht="36" customHeight="1">
      <c r="B100" s="126"/>
      <c r="C100" s="126"/>
      <c r="D100" s="126"/>
      <c r="E100" s="127"/>
      <c r="F100" s="127"/>
      <c r="G100" s="127"/>
      <c r="H100" s="127"/>
      <c r="I100" s="127"/>
      <c r="J100" s="127"/>
    </row>
    <row r="101" spans="1:18" ht="36" customHeight="1">
      <c r="B101" s="126"/>
      <c r="C101" s="126"/>
      <c r="D101" s="126"/>
      <c r="E101" s="126"/>
      <c r="F101" s="126"/>
      <c r="G101" s="126"/>
      <c r="H101" s="126"/>
      <c r="I101" s="126"/>
      <c r="J101" s="126"/>
    </row>
    <row r="102" spans="1:18" ht="36" customHeight="1">
      <c r="B102" s="126"/>
      <c r="C102" s="126"/>
      <c r="D102" s="126"/>
      <c r="E102" s="126"/>
      <c r="F102" s="126"/>
      <c r="G102" s="126"/>
      <c r="H102" s="126"/>
      <c r="I102" s="126"/>
      <c r="J102" s="126"/>
    </row>
    <row r="103" spans="1:18" s="432" customFormat="1" ht="36" customHeight="1">
      <c r="A103" s="431" t="s">
        <v>51</v>
      </c>
    </row>
    <row r="106" spans="1:18" ht="36" customHeight="1">
      <c r="B106" s="128"/>
    </row>
    <row r="107" spans="1:18" ht="36" customHeight="1">
      <c r="B107" s="128"/>
    </row>
    <row r="108" spans="1:18" ht="36" customHeight="1">
      <c r="B108" s="128"/>
    </row>
    <row r="109" spans="1:18" ht="36" customHeight="1">
      <c r="B109" s="128"/>
    </row>
    <row r="110" spans="1:18" ht="36" customHeight="1">
      <c r="B110" s="128"/>
    </row>
    <row r="111" spans="1:18" ht="36" customHeight="1">
      <c r="B111" s="128"/>
    </row>
    <row r="112" spans="1:18" ht="36" customHeight="1">
      <c r="B112" s="128"/>
    </row>
  </sheetData>
  <mergeCells count="101">
    <mergeCell ref="B41:D41"/>
    <mergeCell ref="B42:D42"/>
    <mergeCell ref="B43:D43"/>
    <mergeCell ref="B44:D44"/>
    <mergeCell ref="B45:D45"/>
    <mergeCell ref="B76:D76"/>
    <mergeCell ref="B81:D81"/>
    <mergeCell ref="B82:D82"/>
    <mergeCell ref="B63:D63"/>
    <mergeCell ref="B64:D64"/>
    <mergeCell ref="B65:D65"/>
    <mergeCell ref="B32:D32"/>
    <mergeCell ref="B66:D66"/>
    <mergeCell ref="B67:D67"/>
    <mergeCell ref="B60:D60"/>
    <mergeCell ref="B61:D61"/>
    <mergeCell ref="B62:D62"/>
    <mergeCell ref="B53:D53"/>
    <mergeCell ref="B54:D54"/>
    <mergeCell ref="B55:D55"/>
    <mergeCell ref="B56:D56"/>
    <mergeCell ref="B57:D57"/>
    <mergeCell ref="B34:D34"/>
    <mergeCell ref="B35:D35"/>
    <mergeCell ref="B36:D36"/>
    <mergeCell ref="B37:D37"/>
    <mergeCell ref="B38:D38"/>
    <mergeCell ref="B39:D39"/>
    <mergeCell ref="B40:D40"/>
    <mergeCell ref="A103:XFD103"/>
    <mergeCell ref="B98:D98"/>
    <mergeCell ref="G98:I98"/>
    <mergeCell ref="B99:D99"/>
    <mergeCell ref="A93:D93"/>
    <mergeCell ref="B46:D46"/>
    <mergeCell ref="B47:D47"/>
    <mergeCell ref="B48:D48"/>
    <mergeCell ref="B49:D49"/>
    <mergeCell ref="B50:D50"/>
    <mergeCell ref="B51:D51"/>
    <mergeCell ref="B52:D52"/>
    <mergeCell ref="B91:D91"/>
    <mergeCell ref="B92:D92"/>
    <mergeCell ref="B90:D90"/>
    <mergeCell ref="B89:D89"/>
    <mergeCell ref="B85:D85"/>
    <mergeCell ref="B86:D86"/>
    <mergeCell ref="B87:D87"/>
    <mergeCell ref="B88:D88"/>
    <mergeCell ref="B58:D58"/>
    <mergeCell ref="B59:D59"/>
    <mergeCell ref="B68:D68"/>
    <mergeCell ref="B69:D69"/>
    <mergeCell ref="E1:L2"/>
    <mergeCell ref="A4:A5"/>
    <mergeCell ref="B7:D7"/>
    <mergeCell ref="B33:D33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2:D22"/>
    <mergeCell ref="B23:D23"/>
    <mergeCell ref="B26:D26"/>
    <mergeCell ref="B24:D24"/>
    <mergeCell ref="B25:D25"/>
    <mergeCell ref="B30:D30"/>
    <mergeCell ref="B27:D27"/>
    <mergeCell ref="B28:D28"/>
    <mergeCell ref="K98:M98"/>
    <mergeCell ref="K99:M99"/>
    <mergeCell ref="M4:P4"/>
    <mergeCell ref="G4:H4"/>
    <mergeCell ref="B6:D6"/>
    <mergeCell ref="K4:L4"/>
    <mergeCell ref="I4:J4"/>
    <mergeCell ref="B4:D5"/>
    <mergeCell ref="E4:F4"/>
    <mergeCell ref="B21:D21"/>
    <mergeCell ref="B8:D8"/>
    <mergeCell ref="B29:D29"/>
    <mergeCell ref="B31:D31"/>
    <mergeCell ref="B70:D70"/>
    <mergeCell ref="B84:D84"/>
    <mergeCell ref="B77:D77"/>
    <mergeCell ref="B78:D78"/>
    <mergeCell ref="B79:D79"/>
    <mergeCell ref="B80:D80"/>
    <mergeCell ref="B83:D83"/>
    <mergeCell ref="B71:D71"/>
    <mergeCell ref="B72:D72"/>
    <mergeCell ref="B74:D74"/>
    <mergeCell ref="B75:D75"/>
  </mergeCells>
  <phoneticPr fontId="3" type="noConversion"/>
  <pageMargins left="0.39370078740157483" right="0.39370078740157483" top="0.39370078740157483" bottom="0.39370078740157483" header="0.19685039370078741" footer="0.31496062992125984"/>
  <pageSetup paperSize="9" scale="50" fitToHeight="4" orientation="landscape" verticalDpi="1200" r:id="rId1"/>
  <headerFooter alignWithMargins="0"/>
  <rowBreaks count="1" manualBreakCount="1">
    <brk id="40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12</vt:i4>
      </vt:variant>
    </vt:vector>
  </HeadingPairs>
  <TitlesOfParts>
    <vt:vector size="18" baseType="lpstr">
      <vt:lpstr>Звіт про виконання показ фінпла</vt:lpstr>
      <vt:lpstr>Розшифровка 1 до Формування</vt:lpstr>
      <vt:lpstr>Розшифровка 2 до формування</vt:lpstr>
      <vt:lpstr>Рух грошових коштів</vt:lpstr>
      <vt:lpstr>Розшифровка кап</vt:lpstr>
      <vt:lpstr>Розшифровка за джерелами</vt:lpstr>
      <vt:lpstr>'Звіт про виконання показ фінпла'!Заголовки_для_печати</vt:lpstr>
      <vt:lpstr>'Розшифровка 1 до Формування'!Заголовки_для_печати</vt:lpstr>
      <vt:lpstr>'Розшифровка 2 до формування'!Заголовки_для_печати</vt:lpstr>
      <vt:lpstr>'Розшифровка за джерелами'!Заголовки_для_печати</vt:lpstr>
      <vt:lpstr>'Розшифровка кап'!Заголовки_для_печати</vt:lpstr>
      <vt:lpstr>'Рух грошових коштів'!Заголовки_для_печати</vt:lpstr>
      <vt:lpstr>'Звіт про виконання показ фінпла'!Область_печати</vt:lpstr>
      <vt:lpstr>'Розшифровка 1 до Формування'!Область_печати</vt:lpstr>
      <vt:lpstr>'Розшифровка 2 до формування'!Область_печати</vt:lpstr>
      <vt:lpstr>'Розшифровка за джерелами'!Область_печати</vt:lpstr>
      <vt:lpstr>'Розшифровка кап'!Область_печати</vt:lpstr>
      <vt:lpstr>'Рух грошових коштів'!Область_печати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CMtaD</cp:lastModifiedBy>
  <cp:lastPrinted>2022-06-15T13:41:06Z</cp:lastPrinted>
  <dcterms:created xsi:type="dcterms:W3CDTF">2003-03-13T16:00:22Z</dcterms:created>
  <dcterms:modified xsi:type="dcterms:W3CDTF">2022-06-15T14:01:29Z</dcterms:modified>
</cp:coreProperties>
</file>